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Z:\ORGAOS_SECCIONAIS\DIRAD\CGALC\CLIC\CLIC - 2026\PREGÃO\PREGÃO SRP 01_2026_SERV. APOIO ADM\"/>
    </mc:Choice>
  </mc:AlternateContent>
  <xr:revisionPtr revIDLastSave="0" documentId="8_{B1E72A18-39AF-47D7-9B4E-9B1FDB36A8AD}" xr6:coauthVersionLast="36" xr6:coauthVersionMax="36" xr10:uidLastSave="{00000000-0000-0000-0000-000000000000}"/>
  <bookViews>
    <workbookView xWindow="0" yWindow="0" windowWidth="28800" windowHeight="12105" tabRatio="586" xr2:uid="{00000000-000D-0000-FFFF-FFFF00000000}"/>
  </bookViews>
  <sheets>
    <sheet name="Resumo " sheetId="21" r:id="rId1"/>
    <sheet name="Resumo  (2)" sheetId="35" state="hidden" r:id="rId2"/>
    <sheet name="Secretário Sup. Pleno" sheetId="14" r:id="rId3"/>
    <sheet name="Secretário Sup. Junhior" sheetId="23" r:id="rId4"/>
    <sheet name="Aux. Adm IV" sheetId="9" r:id="rId5"/>
    <sheet name="Encarregado" sheetId="25" r:id="rId6"/>
    <sheet name="Recepcionista " sheetId="17" r:id="rId7"/>
    <sheet name="Jardineiro" sheetId="26" r:id="rId8"/>
    <sheet name="mesageiro  " sheetId="19" r:id="rId9"/>
    <sheet name="Almoxarife III" sheetId="27" r:id="rId10"/>
    <sheet name="copeiro " sheetId="18" r:id="rId11"/>
    <sheet name="motorista" sheetId="28" r:id="rId12"/>
    <sheet name="carregador" sheetId="33" r:id="rId13"/>
    <sheet name="Técn. Art. Graficas" sheetId="36" r:id="rId14"/>
    <sheet name="Carregador por diarias" sheetId="34" r:id="rId15"/>
    <sheet name="Custo de Substitução nas Ferias" sheetId="12" r:id="rId16"/>
    <sheet name="Equipamentos " sheetId="29" r:id="rId17"/>
    <sheet name="Uniformes" sheetId="31" r:id="rId18"/>
    <sheet name="Media de custo com mão de obra" sheetId="13" r:id="rId19"/>
  </sheets>
  <definedNames>
    <definedName name="_1Excel_BuiltIn_Print_Area_5_1">"$#REF!.$B$1:$G$74"</definedName>
    <definedName name="_xlnm.Print_Area" localSheetId="9">'Almoxarife III'!$A$1:$D$153</definedName>
    <definedName name="_xlnm.Print_Area" localSheetId="4">'Aux. Adm IV'!$A$1:$E$150</definedName>
    <definedName name="_xlnm.Print_Area" localSheetId="12">carregador!$A$1:$D$152</definedName>
    <definedName name="_xlnm.Print_Area" localSheetId="10">'copeiro '!$A$1:$E$152</definedName>
    <definedName name="_xlnm.Print_Area" localSheetId="15">'Custo de Substitução nas Ferias'!$A$1:$P$13</definedName>
    <definedName name="_xlnm.Print_Area" localSheetId="5">Encarregado!$A$1:$E$150</definedName>
    <definedName name="_xlnm.Print_Area" localSheetId="16">'Equipamentos '!$A$1:$M$30</definedName>
    <definedName name="_xlnm.Print_Area" localSheetId="7">Jardineiro!$A$1:$D$152</definedName>
    <definedName name="_xlnm.Print_Area" localSheetId="18">'Media de custo com mão de obra'!$A$1:$T$16</definedName>
    <definedName name="_xlnm.Print_Area" localSheetId="8">'mesageiro  '!$A$1:$E$153</definedName>
    <definedName name="_xlnm.Print_Area" localSheetId="11">motorista!$A$1:$D$151</definedName>
    <definedName name="_xlnm.Print_Area" localSheetId="6">'Recepcionista '!$A$1:$E$152</definedName>
    <definedName name="_xlnm.Print_Area" localSheetId="1">'Resumo  (2)'!$A$1:$I$14</definedName>
    <definedName name="_xlnm.Print_Area" localSheetId="3">'Secretário Sup. Junhior'!$A$1:$D$154</definedName>
    <definedName name="_xlnm.Print_Area" localSheetId="2">'Secretário Sup. Pleno'!$A$1:$D$150</definedName>
    <definedName name="_xlnm.Print_Area" localSheetId="13">'Técn. Art. Graficas'!$A$1:$D$151</definedName>
    <definedName name="_xlnm.Print_Area" localSheetId="17">Uniformes!$A$1:$P$102</definedName>
    <definedName name="Excel_BuiltIn_Print_Area_1_1">"$#REF!.$A$1:$H$4"</definedName>
    <definedName name="Excel_BuiltIn_Print_Area_2">#N/A</definedName>
    <definedName name="Excel_BuiltIn_Print_Area_2_1" localSheetId="9">#REF!</definedName>
    <definedName name="Excel_BuiltIn_Print_Area_2_1" localSheetId="12">#REF!</definedName>
    <definedName name="Excel_BuiltIn_Print_Area_2_1" localSheetId="10">#REF!</definedName>
    <definedName name="Excel_BuiltIn_Print_Area_2_1" localSheetId="7">#REF!</definedName>
    <definedName name="Excel_BuiltIn_Print_Area_2_1" localSheetId="8">#REF!</definedName>
    <definedName name="Excel_BuiltIn_Print_Area_2_1" localSheetId="11">#REF!</definedName>
    <definedName name="Excel_BuiltIn_Print_Area_2_1" localSheetId="6">#REF!</definedName>
    <definedName name="Excel_BuiltIn_Print_Area_2_1" localSheetId="1">#REF!</definedName>
    <definedName name="Excel_BuiltIn_Print_Area_2_1" localSheetId="3">#REF!</definedName>
    <definedName name="Excel_BuiltIn_Print_Area_2_1" localSheetId="2">#REF!</definedName>
    <definedName name="Excel_BuiltIn_Print_Area_2_1" localSheetId="13">#REF!</definedName>
    <definedName name="Excel_BuiltIn_Print_Area_2_1">#REF!</definedName>
    <definedName name="Excel_BuiltIn_Print_Area_3_1">"$#REF!.$B$1:$F$226"</definedName>
    <definedName name="Excel_BuiltIn_Print_Area_3_1_1">"$#REF!.$B$1:$F$226"</definedName>
    <definedName name="Excel_BuiltIn_Print_Area_5_1">"$#REF!.$B$1:$G$74"</definedName>
    <definedName name="Excel_BuiltIn_Print_Area_6" localSheetId="9">#REF!</definedName>
    <definedName name="Excel_BuiltIn_Print_Area_6" localSheetId="12">#REF!</definedName>
    <definedName name="Excel_BuiltIn_Print_Area_6" localSheetId="10">#REF!</definedName>
    <definedName name="Excel_BuiltIn_Print_Area_6" localSheetId="7">#REF!</definedName>
    <definedName name="Excel_BuiltIn_Print_Area_6" localSheetId="8">#REF!</definedName>
    <definedName name="Excel_BuiltIn_Print_Area_6" localSheetId="11">#REF!</definedName>
    <definedName name="Excel_BuiltIn_Print_Area_6" localSheetId="6">#REF!</definedName>
    <definedName name="Excel_BuiltIn_Print_Area_6" localSheetId="1">#REF!</definedName>
    <definedName name="Excel_BuiltIn_Print_Area_6" localSheetId="3">#REF!</definedName>
    <definedName name="Excel_BuiltIn_Print_Area_6" localSheetId="2">#REF!</definedName>
    <definedName name="Excel_BuiltIn_Print_Area_6" localSheetId="13">#REF!</definedName>
    <definedName name="Excel_BuiltIn_Print_Area_6">#REF!</definedName>
    <definedName name="Excel_BuiltIn_Print_Area_6_1" localSheetId="9">#REF!</definedName>
    <definedName name="Excel_BuiltIn_Print_Area_6_1" localSheetId="12">#REF!</definedName>
    <definedName name="Excel_BuiltIn_Print_Area_6_1" localSheetId="10">#REF!</definedName>
    <definedName name="Excel_BuiltIn_Print_Area_6_1" localSheetId="7">#REF!</definedName>
    <definedName name="Excel_BuiltIn_Print_Area_6_1" localSheetId="8">#REF!</definedName>
    <definedName name="Excel_BuiltIn_Print_Area_6_1" localSheetId="11">#REF!</definedName>
    <definedName name="Excel_BuiltIn_Print_Area_6_1" localSheetId="6">#REF!</definedName>
    <definedName name="Excel_BuiltIn_Print_Area_6_1" localSheetId="1">#REF!</definedName>
    <definedName name="Excel_BuiltIn_Print_Area_6_1" localSheetId="3">#REF!</definedName>
    <definedName name="Excel_BuiltIn_Print_Area_6_1" localSheetId="2">#REF!</definedName>
    <definedName name="Excel_BuiltIn_Print_Area_6_1" localSheetId="13">#REF!</definedName>
    <definedName name="Excel_BuiltIn_Print_Area_6_1">#REF!</definedName>
    <definedName name="Excel_BuiltIn_Print_Area_7">"$#REF!.$A$1:$H$150"</definedName>
    <definedName name="MOT">NA()</definedName>
  </definedNames>
  <calcPr calcId="191029"/>
</workbook>
</file>

<file path=xl/calcChain.xml><?xml version="1.0" encoding="utf-8"?>
<calcChain xmlns="http://schemas.openxmlformats.org/spreadsheetml/2006/main">
  <c r="J33" i="21" l="1"/>
  <c r="D125" i="26"/>
  <c r="J13" i="21"/>
  <c r="K13" i="21" s="1"/>
  <c r="K33" i="21"/>
  <c r="I33" i="21" s="1"/>
  <c r="H32" i="21"/>
  <c r="J32" i="21" s="1"/>
  <c r="J34" i="21" s="1"/>
  <c r="K32" i="21" l="1"/>
  <c r="K34" i="21" s="1"/>
  <c r="J19" i="21"/>
  <c r="K19" i="21"/>
  <c r="H12" i="21"/>
  <c r="I32" i="21" l="1"/>
  <c r="D123" i="36"/>
  <c r="Q5" i="34"/>
  <c r="D125" i="36"/>
  <c r="D126" i="36" l="1"/>
  <c r="P11" i="12"/>
  <c r="P8" i="12"/>
  <c r="P9" i="12"/>
  <c r="D20" i="36"/>
  <c r="C135" i="36"/>
  <c r="C134" i="36"/>
  <c r="C133" i="36"/>
  <c r="C132" i="36"/>
  <c r="D108" i="36"/>
  <c r="D115" i="36" s="1"/>
  <c r="C100" i="36"/>
  <c r="C99" i="36"/>
  <c r="C98" i="36"/>
  <c r="C97" i="36"/>
  <c r="C96" i="36"/>
  <c r="C83" i="36"/>
  <c r="C84" i="36" s="1"/>
  <c r="C80" i="36"/>
  <c r="C81" i="36" s="1"/>
  <c r="C52" i="36"/>
  <c r="C34" i="36"/>
  <c r="C33" i="36"/>
  <c r="C35" i="36" s="1"/>
  <c r="D18" i="36"/>
  <c r="D61" i="36" s="1"/>
  <c r="D132" i="36" l="1"/>
  <c r="D148" i="36"/>
  <c r="D25" i="36"/>
  <c r="D33" i="36"/>
  <c r="C138" i="36"/>
  <c r="D81" i="36"/>
  <c r="D65" i="36"/>
  <c r="D73" i="36" s="1"/>
  <c r="C86" i="36"/>
  <c r="D133" i="36" l="1"/>
  <c r="D135" i="36" s="1"/>
  <c r="P3" i="12"/>
  <c r="D34" i="36"/>
  <c r="D35" i="36"/>
  <c r="D83" i="36"/>
  <c r="D80" i="36"/>
  <c r="D85" i="36"/>
  <c r="D82" i="36"/>
  <c r="D144" i="36"/>
  <c r="D100" i="36"/>
  <c r="D99" i="36"/>
  <c r="D98" i="36"/>
  <c r="D97" i="36"/>
  <c r="D96" i="36"/>
  <c r="D84" i="36"/>
  <c r="D134" i="36" l="1"/>
  <c r="P4" i="12"/>
  <c r="P5" i="12"/>
  <c r="P6" i="12" s="1"/>
  <c r="D86" i="36"/>
  <c r="D71" i="36"/>
  <c r="D49" i="36"/>
  <c r="D46" i="36"/>
  <c r="D45" i="36"/>
  <c r="D44" i="36"/>
  <c r="D51" i="36"/>
  <c r="D48" i="36"/>
  <c r="D47" i="36"/>
  <c r="D50" i="36"/>
  <c r="D146" i="36" l="1"/>
  <c r="P10" i="12"/>
  <c r="D52" i="36"/>
  <c r="D72" i="36" l="1"/>
  <c r="D74" i="36" s="1"/>
  <c r="P7" i="12"/>
  <c r="P12" i="12" s="1"/>
  <c r="P13" i="12" s="1"/>
  <c r="D95" i="36" s="1"/>
  <c r="D145" i="36"/>
  <c r="C95" i="36" l="1"/>
  <c r="D101" i="36"/>
  <c r="D114" i="36" s="1"/>
  <c r="D116" i="36" s="1"/>
  <c r="D147" i="36" l="1"/>
  <c r="D149" i="36" s="1"/>
  <c r="D138" i="36" l="1"/>
  <c r="D150" i="36" s="1"/>
  <c r="D137" i="36"/>
  <c r="D151" i="36" l="1"/>
  <c r="G151" i="36" s="1"/>
  <c r="F137" i="36"/>
  <c r="F134" i="14" l="1"/>
  <c r="H17" i="21" l="1"/>
  <c r="I17" i="21"/>
  <c r="I23" i="21" l="1"/>
  <c r="I31" i="21"/>
  <c r="H23" i="21"/>
  <c r="H31" i="21"/>
  <c r="C136" i="33"/>
  <c r="C135" i="28"/>
  <c r="C136" i="18"/>
  <c r="C135" i="33"/>
  <c r="C137" i="27"/>
  <c r="C137" i="19"/>
  <c r="C136" i="26"/>
  <c r="C135" i="26"/>
  <c r="C136" i="17"/>
  <c r="C134" i="25"/>
  <c r="C134" i="9"/>
  <c r="C134" i="23"/>
  <c r="C134" i="14"/>
  <c r="D125" i="28" l="1"/>
  <c r="D125" i="33"/>
  <c r="D125" i="18"/>
  <c r="D126" i="27"/>
  <c r="D126" i="19"/>
  <c r="D125" i="17"/>
  <c r="D123" i="25"/>
  <c r="D123" i="9"/>
  <c r="D123" i="23"/>
  <c r="D123" i="14"/>
  <c r="N4" i="34" l="1"/>
  <c r="N3" i="34"/>
  <c r="M4" i="34"/>
  <c r="M3" i="34"/>
  <c r="L4" i="34"/>
  <c r="L3" i="34"/>
  <c r="G13" i="35" l="1"/>
  <c r="H13" i="35" s="1"/>
  <c r="I13" i="35" s="1"/>
  <c r="J26" i="21"/>
  <c r="J25" i="21"/>
  <c r="K25" i="21" s="1"/>
  <c r="I25" i="21" s="1"/>
  <c r="G39" i="21"/>
  <c r="G38" i="21"/>
  <c r="O4" i="34"/>
  <c r="P4" i="34" s="1"/>
  <c r="O3" i="34"/>
  <c r="P3" i="34" s="1"/>
  <c r="H38" i="21" s="1"/>
  <c r="I38" i="21" l="1"/>
  <c r="H39" i="21"/>
  <c r="I39" i="21" s="1"/>
  <c r="F4" i="34"/>
  <c r="Q4" i="34" s="1"/>
  <c r="F3" i="34"/>
  <c r="Q3" i="34" s="1"/>
  <c r="I40" i="21" l="1"/>
  <c r="N90" i="31"/>
  <c r="O90" i="31" s="1"/>
  <c r="P90" i="31" s="1"/>
  <c r="N91" i="31"/>
  <c r="O91" i="31" s="1"/>
  <c r="P91" i="31" s="1"/>
  <c r="M88" i="31"/>
  <c r="M89" i="31"/>
  <c r="N89" i="31" s="1"/>
  <c r="O89" i="31" s="1"/>
  <c r="P89" i="31" s="1"/>
  <c r="M90" i="31"/>
  <c r="M91" i="31"/>
  <c r="M87" i="31"/>
  <c r="N87" i="31" s="1"/>
  <c r="O87" i="31" s="1"/>
  <c r="P87" i="31" s="1"/>
  <c r="P92" i="31" s="1"/>
  <c r="P93" i="31" s="1"/>
  <c r="D122" i="33" s="1"/>
  <c r="L88" i="31"/>
  <c r="L89" i="31"/>
  <c r="L90" i="31"/>
  <c r="L91" i="31"/>
  <c r="L87" i="31"/>
  <c r="K88" i="31"/>
  <c r="N88" i="31" s="1"/>
  <c r="O88" i="31" s="1"/>
  <c r="P88" i="31" s="1"/>
  <c r="K89" i="31"/>
  <c r="K90" i="31"/>
  <c r="K91" i="31"/>
  <c r="K87" i="31"/>
  <c r="C88" i="31"/>
  <c r="C89" i="31"/>
  <c r="C90" i="31"/>
  <c r="C87" i="31"/>
  <c r="C86" i="31"/>
  <c r="O9" i="12"/>
  <c r="O8" i="12"/>
  <c r="D108" i="33"/>
  <c r="D115" i="33" s="1"/>
  <c r="C100" i="33"/>
  <c r="D62" i="33"/>
  <c r="C52" i="33"/>
  <c r="C34" i="33"/>
  <c r="C33" i="33"/>
  <c r="D18" i="33"/>
  <c r="D61" i="33" s="1"/>
  <c r="D65" i="33" s="1"/>
  <c r="D73" i="33" s="1"/>
  <c r="D62" i="28"/>
  <c r="D62" i="18"/>
  <c r="D63" i="27"/>
  <c r="D63" i="19"/>
  <c r="D62" i="26"/>
  <c r="D62" i="17"/>
  <c r="O11" i="12" l="1"/>
  <c r="D126" i="33"/>
  <c r="D149" i="33" s="1"/>
  <c r="C35" i="33"/>
  <c r="D25" i="33"/>
  <c r="D60" i="25"/>
  <c r="D60" i="9"/>
  <c r="D63" i="9" s="1"/>
  <c r="D60" i="23"/>
  <c r="D60" i="14"/>
  <c r="D63" i="14" s="1"/>
  <c r="D33" i="33" l="1"/>
  <c r="O3" i="12"/>
  <c r="D82" i="33"/>
  <c r="D34" i="33"/>
  <c r="D145" i="33"/>
  <c r="D85" i="33"/>
  <c r="D35" i="33"/>
  <c r="D71" i="33" s="1"/>
  <c r="D100" i="33"/>
  <c r="D44" i="33" l="1"/>
  <c r="O5" i="12"/>
  <c r="O6" i="12" s="1"/>
  <c r="O4" i="12"/>
  <c r="D47" i="33"/>
  <c r="D49" i="33"/>
  <c r="D50" i="33"/>
  <c r="D46" i="33"/>
  <c r="D51" i="33"/>
  <c r="D45" i="33"/>
  <c r="D48" i="33"/>
  <c r="C75" i="31"/>
  <c r="C76" i="31"/>
  <c r="C77" i="31"/>
  <c r="C78" i="31"/>
  <c r="C79" i="31"/>
  <c r="C80" i="31"/>
  <c r="C74" i="31"/>
  <c r="C60" i="31"/>
  <c r="C61" i="31"/>
  <c r="C62" i="31"/>
  <c r="C63" i="31"/>
  <c r="C64" i="31"/>
  <c r="C59" i="31"/>
  <c r="C50" i="31"/>
  <c r="C51" i="31"/>
  <c r="C52" i="31"/>
  <c r="C53" i="31"/>
  <c r="C54" i="31"/>
  <c r="C49" i="31"/>
  <c r="C38" i="31"/>
  <c r="C39" i="31"/>
  <c r="C40" i="31"/>
  <c r="C41" i="31"/>
  <c r="C37" i="31"/>
  <c r="C29" i="31"/>
  <c r="C30" i="31"/>
  <c r="C31" i="31"/>
  <c r="C32" i="31"/>
  <c r="C28" i="31"/>
  <c r="C11" i="31"/>
  <c r="C17" i="31"/>
  <c r="C18" i="31"/>
  <c r="C19" i="31"/>
  <c r="C20" i="31"/>
  <c r="C16" i="31"/>
  <c r="C6" i="31"/>
  <c r="C7" i="31"/>
  <c r="C8" i="31"/>
  <c r="C9" i="31"/>
  <c r="C10" i="31"/>
  <c r="C5" i="31"/>
  <c r="D52" i="33" l="1"/>
  <c r="D72" i="33"/>
  <c r="D74" i="33" s="1"/>
  <c r="O7" i="12"/>
  <c r="D146" i="33"/>
  <c r="G75" i="31"/>
  <c r="H75" i="31"/>
  <c r="I75" i="31"/>
  <c r="G76" i="31"/>
  <c r="H76" i="31"/>
  <c r="I76" i="31"/>
  <c r="G77" i="31"/>
  <c r="H77" i="31"/>
  <c r="I77" i="31"/>
  <c r="J77" i="31" s="1"/>
  <c r="G78" i="31"/>
  <c r="H78" i="31"/>
  <c r="I78" i="31"/>
  <c r="G79" i="31"/>
  <c r="H79" i="31"/>
  <c r="I79" i="31"/>
  <c r="G80" i="31"/>
  <c r="H80" i="31"/>
  <c r="I80" i="31"/>
  <c r="I74" i="31"/>
  <c r="H74" i="31"/>
  <c r="G74" i="31"/>
  <c r="K50" i="31"/>
  <c r="L50" i="31"/>
  <c r="M50" i="31"/>
  <c r="N50" i="31" s="1"/>
  <c r="O50" i="31" s="1"/>
  <c r="P50" i="31" s="1"/>
  <c r="K51" i="31"/>
  <c r="L51" i="31"/>
  <c r="M51" i="31"/>
  <c r="K52" i="31"/>
  <c r="L52" i="31"/>
  <c r="M52" i="31"/>
  <c r="K53" i="31"/>
  <c r="L53" i="31"/>
  <c r="M53" i="31"/>
  <c r="N53" i="31" s="1"/>
  <c r="K54" i="31"/>
  <c r="L54" i="31"/>
  <c r="M54" i="31"/>
  <c r="M49" i="31"/>
  <c r="L49" i="31"/>
  <c r="K49" i="31"/>
  <c r="K60" i="31"/>
  <c r="L60" i="31"/>
  <c r="M60" i="31"/>
  <c r="K61" i="31"/>
  <c r="L61" i="31"/>
  <c r="M61" i="31"/>
  <c r="K62" i="31"/>
  <c r="L62" i="31"/>
  <c r="M62" i="31"/>
  <c r="N62" i="31" s="1"/>
  <c r="O62" i="31" s="1"/>
  <c r="P62" i="31" s="1"/>
  <c r="K63" i="31"/>
  <c r="L63" i="31"/>
  <c r="M63" i="31"/>
  <c r="M59" i="31"/>
  <c r="L59" i="31"/>
  <c r="K59" i="31"/>
  <c r="H4" i="29"/>
  <c r="I4" i="29"/>
  <c r="J4" i="29"/>
  <c r="H5" i="29"/>
  <c r="I5" i="29"/>
  <c r="J5" i="29"/>
  <c r="K5" i="29" s="1"/>
  <c r="H6" i="29"/>
  <c r="I6" i="29"/>
  <c r="J6" i="29"/>
  <c r="K6" i="29" s="1"/>
  <c r="L6" i="29" s="1"/>
  <c r="M6" i="29" s="1"/>
  <c r="H7" i="29"/>
  <c r="I7" i="29"/>
  <c r="J7" i="29"/>
  <c r="K7" i="29" s="1"/>
  <c r="L7" i="29" s="1"/>
  <c r="M7" i="29" s="1"/>
  <c r="H8" i="29"/>
  <c r="I8" i="29"/>
  <c r="J8" i="29"/>
  <c r="K8" i="29"/>
  <c r="L8" i="29" s="1"/>
  <c r="M8" i="29" s="1"/>
  <c r="H9" i="29"/>
  <c r="I9" i="29"/>
  <c r="J9" i="29"/>
  <c r="H10" i="29"/>
  <c r="I10" i="29"/>
  <c r="J10" i="29"/>
  <c r="K10" i="29" s="1"/>
  <c r="L10" i="29" s="1"/>
  <c r="M10" i="29" s="1"/>
  <c r="H11" i="29"/>
  <c r="K11" i="29" s="1"/>
  <c r="L11" i="29" s="1"/>
  <c r="M11" i="29" s="1"/>
  <c r="I11" i="29"/>
  <c r="J11" i="29"/>
  <c r="H12" i="29"/>
  <c r="I12" i="29"/>
  <c r="J12" i="29"/>
  <c r="K12" i="29" s="1"/>
  <c r="L12" i="29" s="1"/>
  <c r="M12" i="29" s="1"/>
  <c r="H13" i="29"/>
  <c r="I13" i="29"/>
  <c r="J13" i="29"/>
  <c r="H14" i="29"/>
  <c r="I14" i="29"/>
  <c r="J14" i="29"/>
  <c r="H15" i="29"/>
  <c r="I15" i="29"/>
  <c r="J15" i="29"/>
  <c r="K15" i="29" s="1"/>
  <c r="L15" i="29" s="1"/>
  <c r="M15" i="29" s="1"/>
  <c r="H16" i="29"/>
  <c r="I16" i="29"/>
  <c r="J16" i="29"/>
  <c r="K16" i="29" s="1"/>
  <c r="L16" i="29" s="1"/>
  <c r="M16" i="29" s="1"/>
  <c r="H17" i="29"/>
  <c r="I17" i="29"/>
  <c r="J17" i="29"/>
  <c r="K17" i="29" s="1"/>
  <c r="L17" i="29" s="1"/>
  <c r="M17" i="29" s="1"/>
  <c r="H18" i="29"/>
  <c r="I18" i="29"/>
  <c r="J18" i="29"/>
  <c r="K18" i="29"/>
  <c r="L18" i="29" s="1"/>
  <c r="M18" i="29" s="1"/>
  <c r="H19" i="29"/>
  <c r="I19" i="29"/>
  <c r="J19" i="29"/>
  <c r="K19" i="29" s="1"/>
  <c r="L19" i="29" s="1"/>
  <c r="M19" i="29" s="1"/>
  <c r="H20" i="29"/>
  <c r="I20" i="29"/>
  <c r="J20" i="29"/>
  <c r="H21" i="29"/>
  <c r="I21" i="29"/>
  <c r="J21" i="29"/>
  <c r="K21" i="29" s="1"/>
  <c r="L21" i="29" s="1"/>
  <c r="M21" i="29" s="1"/>
  <c r="H22" i="29"/>
  <c r="I22" i="29"/>
  <c r="J22" i="29"/>
  <c r="H23" i="29"/>
  <c r="I23" i="29"/>
  <c r="J23" i="29"/>
  <c r="K23" i="29"/>
  <c r="L23" i="29" s="1"/>
  <c r="M23" i="29" s="1"/>
  <c r="H24" i="29"/>
  <c r="K24" i="29" s="1"/>
  <c r="L24" i="29" s="1"/>
  <c r="M24" i="29" s="1"/>
  <c r="I24" i="29"/>
  <c r="J24" i="29"/>
  <c r="H25" i="29"/>
  <c r="I25" i="29"/>
  <c r="J25" i="29"/>
  <c r="H26" i="29"/>
  <c r="K26" i="29" s="1"/>
  <c r="L26" i="29" s="1"/>
  <c r="M26" i="29" s="1"/>
  <c r="I26" i="29"/>
  <c r="J26" i="29"/>
  <c r="H27" i="29"/>
  <c r="I27" i="29"/>
  <c r="J27" i="29"/>
  <c r="K27" i="29"/>
  <c r="L27" i="29"/>
  <c r="M27" i="29" s="1"/>
  <c r="H28" i="29"/>
  <c r="I28" i="29"/>
  <c r="J28" i="29"/>
  <c r="K28" i="29" s="1"/>
  <c r="L28" i="29" s="1"/>
  <c r="M28" i="29" s="1"/>
  <c r="J3" i="29"/>
  <c r="I3" i="29"/>
  <c r="H3" i="29"/>
  <c r="K3" i="29" s="1"/>
  <c r="L3" i="29" s="1"/>
  <c r="M3" i="29" s="1"/>
  <c r="P15" i="13"/>
  <c r="Q15" i="13"/>
  <c r="R15" i="13"/>
  <c r="R14" i="13"/>
  <c r="Q14" i="13"/>
  <c r="P14" i="13"/>
  <c r="P9" i="13"/>
  <c r="Q9" i="13"/>
  <c r="R9" i="13"/>
  <c r="P10" i="13"/>
  <c r="Q10" i="13"/>
  <c r="R10" i="13"/>
  <c r="P11" i="13"/>
  <c r="Q11" i="13"/>
  <c r="R11" i="13"/>
  <c r="R8" i="13"/>
  <c r="Q8" i="13"/>
  <c r="P8" i="13"/>
  <c r="P6" i="13"/>
  <c r="Q6" i="13"/>
  <c r="R6" i="13"/>
  <c r="R5" i="13"/>
  <c r="Q5" i="13"/>
  <c r="P5" i="13"/>
  <c r="K25" i="29" l="1"/>
  <c r="L25" i="29" s="1"/>
  <c r="M25" i="29" s="1"/>
  <c r="S11" i="13"/>
  <c r="K20" i="29"/>
  <c r="L20" i="29" s="1"/>
  <c r="M20" i="29" s="1"/>
  <c r="L5" i="29"/>
  <c r="M5" i="29" s="1"/>
  <c r="O53" i="31"/>
  <c r="P53" i="31" s="1"/>
  <c r="K77" i="31"/>
  <c r="L77" i="31" s="1"/>
  <c r="K14" i="29"/>
  <c r="L14" i="29" s="1"/>
  <c r="M14" i="29" s="1"/>
  <c r="K13" i="29"/>
  <c r="L13" i="29" s="1"/>
  <c r="M13" i="29" s="1"/>
  <c r="K9" i="29"/>
  <c r="L9" i="29" s="1"/>
  <c r="M9" i="29" s="1"/>
  <c r="K4" i="29"/>
  <c r="L4" i="29" s="1"/>
  <c r="M4" i="29" s="1"/>
  <c r="M29" i="29" s="1"/>
  <c r="M30" i="29" s="1"/>
  <c r="D123" i="26" s="1"/>
  <c r="K22" i="29"/>
  <c r="L22" i="29" s="1"/>
  <c r="M22" i="29" s="1"/>
  <c r="N52" i="31"/>
  <c r="O52" i="31" s="1"/>
  <c r="P52" i="31" s="1"/>
  <c r="N59" i="31"/>
  <c r="O59" i="31" s="1"/>
  <c r="N60" i="31"/>
  <c r="O60" i="31" s="1"/>
  <c r="P60" i="31" s="1"/>
  <c r="N54" i="31"/>
  <c r="O54" i="31" s="1"/>
  <c r="P54" i="31" s="1"/>
  <c r="J80" i="31"/>
  <c r="K80" i="31" s="1"/>
  <c r="J79" i="31"/>
  <c r="K79" i="31" s="1"/>
  <c r="L79" i="31" s="1"/>
  <c r="J76" i="31"/>
  <c r="K76" i="31" s="1"/>
  <c r="L76" i="31" s="1"/>
  <c r="N51" i="31"/>
  <c r="O51" i="31" s="1"/>
  <c r="P51" i="31" s="1"/>
  <c r="J74" i="31"/>
  <c r="K74" i="31" s="1"/>
  <c r="L74" i="31" s="1"/>
  <c r="J75" i="31"/>
  <c r="K75" i="31" s="1"/>
  <c r="L75" i="31" s="1"/>
  <c r="N61" i="31"/>
  <c r="O61" i="31" s="1"/>
  <c r="P61" i="31" s="1"/>
  <c r="N63" i="31"/>
  <c r="O63" i="31" s="1"/>
  <c r="P63" i="31" s="1"/>
  <c r="J78" i="31"/>
  <c r="K78" i="31" s="1"/>
  <c r="L78" i="31" s="1"/>
  <c r="S8" i="13"/>
  <c r="T8" i="13" s="1"/>
  <c r="C96" i="33" s="1"/>
  <c r="D96" i="33" s="1"/>
  <c r="S15" i="13"/>
  <c r="T15" i="13" s="1"/>
  <c r="C134" i="33" s="1"/>
  <c r="S9" i="13"/>
  <c r="T9" i="13" s="1"/>
  <c r="C97" i="33" s="1"/>
  <c r="D97" i="33" s="1"/>
  <c r="T11" i="13"/>
  <c r="C99" i="33" s="1"/>
  <c r="D99" i="33" s="1"/>
  <c r="S10" i="13"/>
  <c r="T10" i="13" s="1"/>
  <c r="C98" i="33" s="1"/>
  <c r="D98" i="33" s="1"/>
  <c r="S14" i="13"/>
  <c r="T14" i="13" s="1"/>
  <c r="C132" i="33" s="1"/>
  <c r="S6" i="13"/>
  <c r="T6" i="13" s="1"/>
  <c r="C139" i="33" l="1"/>
  <c r="C83" i="33"/>
  <c r="C81" i="14"/>
  <c r="C81" i="23"/>
  <c r="L80" i="31"/>
  <c r="L81" i="31" s="1"/>
  <c r="L82" i="31" s="1"/>
  <c r="C84" i="33" l="1"/>
  <c r="D84" i="33" s="1"/>
  <c r="D83" i="33"/>
  <c r="D122" i="26" l="1"/>
  <c r="N49" i="31"/>
  <c r="O49" i="31" s="1"/>
  <c r="P49" i="31" s="1"/>
  <c r="P59" i="31"/>
  <c r="K6" i="31"/>
  <c r="L6" i="31"/>
  <c r="M6" i="31"/>
  <c r="K7" i="31"/>
  <c r="L7" i="31"/>
  <c r="M7" i="31"/>
  <c r="K8" i="31"/>
  <c r="L8" i="31"/>
  <c r="M8" i="31"/>
  <c r="K9" i="31"/>
  <c r="L9" i="31"/>
  <c r="M9" i="31"/>
  <c r="K10" i="31"/>
  <c r="L10" i="31"/>
  <c r="M10" i="31"/>
  <c r="K11" i="31"/>
  <c r="L11" i="31"/>
  <c r="M11" i="31"/>
  <c r="M5" i="31"/>
  <c r="L5" i="31"/>
  <c r="K5" i="31"/>
  <c r="J36" i="31"/>
  <c r="J38" i="31"/>
  <c r="J39" i="31"/>
  <c r="J40" i="31"/>
  <c r="J41" i="31"/>
  <c r="J37" i="31"/>
  <c r="N7" i="31" l="1"/>
  <c r="N8" i="31"/>
  <c r="O8" i="31" s="1"/>
  <c r="P8" i="31" s="1"/>
  <c r="N6" i="31"/>
  <c r="O6" i="31" s="1"/>
  <c r="P6" i="31" s="1"/>
  <c r="O7" i="31"/>
  <c r="P7" i="31" s="1"/>
  <c r="P55" i="31"/>
  <c r="P56" i="31" s="1"/>
  <c r="N9" i="31"/>
  <c r="O9" i="31" s="1"/>
  <c r="P9" i="31" s="1"/>
  <c r="N5" i="31"/>
  <c r="O5" i="31" s="1"/>
  <c r="N11" i="31"/>
  <c r="O11" i="31" s="1"/>
  <c r="P11" i="31" s="1"/>
  <c r="N10" i="31"/>
  <c r="O10" i="31" s="1"/>
  <c r="P10" i="31" s="1"/>
  <c r="I20" i="31" l="1"/>
  <c r="I19" i="31"/>
  <c r="I18" i="31"/>
  <c r="I17" i="31"/>
  <c r="I29" i="31" s="1"/>
  <c r="I38" i="31" s="1"/>
  <c r="I16" i="31"/>
  <c r="I28" i="31" s="1"/>
  <c r="I37" i="31" s="1"/>
  <c r="F64" i="31"/>
  <c r="I36" i="31"/>
  <c r="L15" i="31"/>
  <c r="L27" i="31" s="1"/>
  <c r="L36" i="31" s="1"/>
  <c r="L48" i="31" s="1"/>
  <c r="L58" i="31" s="1"/>
  <c r="M15" i="31"/>
  <c r="M27" i="31" s="1"/>
  <c r="M36" i="31" s="1"/>
  <c r="M48" i="31" s="1"/>
  <c r="M58" i="31" s="1"/>
  <c r="N15" i="31"/>
  <c r="N27" i="31" s="1"/>
  <c r="N36" i="31" s="1"/>
  <c r="N48" i="31" s="1"/>
  <c r="N58" i="31" s="1"/>
  <c r="O15" i="31"/>
  <c r="O27" i="31" s="1"/>
  <c r="O36" i="31" s="1"/>
  <c r="O48" i="31" s="1"/>
  <c r="O58" i="31" s="1"/>
  <c r="P15" i="31"/>
  <c r="P27" i="31" s="1"/>
  <c r="P36" i="31" s="1"/>
  <c r="P48" i="31" s="1"/>
  <c r="P58" i="31" s="1"/>
  <c r="K15" i="31"/>
  <c r="K27" i="31" s="1"/>
  <c r="K36" i="31" s="1"/>
  <c r="K48" i="31" s="1"/>
  <c r="K58" i="31" s="1"/>
  <c r="H41" i="31"/>
  <c r="H31" i="31"/>
  <c r="H17" i="31"/>
  <c r="H16" i="31"/>
  <c r="H36" i="31"/>
  <c r="G38" i="31"/>
  <c r="G39" i="31"/>
  <c r="G40" i="31"/>
  <c r="G41" i="31"/>
  <c r="G37" i="31"/>
  <c r="G36" i="31"/>
  <c r="F38" i="31"/>
  <c r="F39" i="31"/>
  <c r="F37" i="31"/>
  <c r="B20" i="31"/>
  <c r="B32" i="31" s="1"/>
  <c r="B41" i="31" s="1"/>
  <c r="B54" i="31" s="1"/>
  <c r="B64" i="31" s="1"/>
  <c r="B91" i="31" s="1"/>
  <c r="F36" i="31"/>
  <c r="E36" i="31"/>
  <c r="M64" i="31" l="1"/>
  <c r="L64" i="31"/>
  <c r="K64" i="31"/>
  <c r="H40" i="31"/>
  <c r="K18" i="31"/>
  <c r="L18" i="31"/>
  <c r="M18" i="31"/>
  <c r="H29" i="31"/>
  <c r="H38" i="31" s="1"/>
  <c r="M38" i="31" s="1"/>
  <c r="K17" i="31"/>
  <c r="L17" i="31"/>
  <c r="M17" i="31"/>
  <c r="K19" i="31"/>
  <c r="L19" i="31"/>
  <c r="M19" i="31"/>
  <c r="H28" i="31"/>
  <c r="H37" i="31" s="1"/>
  <c r="M37" i="31" s="1"/>
  <c r="K16" i="31"/>
  <c r="M16" i="31"/>
  <c r="L16" i="31"/>
  <c r="I32" i="31"/>
  <c r="I41" i="31" s="1"/>
  <c r="L41" i="31" s="1"/>
  <c r="M20" i="31"/>
  <c r="K20" i="31"/>
  <c r="L20" i="31"/>
  <c r="I30" i="31"/>
  <c r="I31" i="31"/>
  <c r="I40" i="31" s="1"/>
  <c r="N64" i="31" l="1"/>
  <c r="O64" i="31"/>
  <c r="P64" i="31" s="1"/>
  <c r="P65" i="31" s="1"/>
  <c r="P66" i="31" s="1"/>
  <c r="P68" i="31" s="1"/>
  <c r="D122" i="18" s="1"/>
  <c r="N18" i="31"/>
  <c r="O18" i="31" s="1"/>
  <c r="P18" i="31" s="1"/>
  <c r="L31" i="31"/>
  <c r="L40" i="31"/>
  <c r="L38" i="31"/>
  <c r="K38" i="31"/>
  <c r="N38" i="31" s="1"/>
  <c r="L37" i="31"/>
  <c r="N16" i="31"/>
  <c r="O16" i="31" s="1"/>
  <c r="P16" i="31" s="1"/>
  <c r="N17" i="31"/>
  <c r="O17" i="31" s="1"/>
  <c r="P17" i="31" s="1"/>
  <c r="M40" i="31"/>
  <c r="K30" i="31"/>
  <c r="L30" i="31"/>
  <c r="M30" i="31"/>
  <c r="K41" i="31"/>
  <c r="M41" i="31"/>
  <c r="K40" i="31"/>
  <c r="L28" i="31"/>
  <c r="M28" i="31"/>
  <c r="K28" i="31"/>
  <c r="N19" i="31"/>
  <c r="O19" i="31" s="1"/>
  <c r="P19" i="31" s="1"/>
  <c r="K37" i="31"/>
  <c r="N37" i="31" s="1"/>
  <c r="O37" i="31" s="1"/>
  <c r="P37" i="31" s="1"/>
  <c r="N20" i="31"/>
  <c r="O20" i="31" s="1"/>
  <c r="P20" i="31" s="1"/>
  <c r="K29" i="31"/>
  <c r="M29" i="31"/>
  <c r="L29" i="31"/>
  <c r="M31" i="31"/>
  <c r="L32" i="31"/>
  <c r="M32" i="31"/>
  <c r="K32" i="31"/>
  <c r="K31" i="31"/>
  <c r="I39" i="31"/>
  <c r="O38" i="31" l="1"/>
  <c r="P38" i="31" s="1"/>
  <c r="P21" i="31"/>
  <c r="P22" i="31" s="1"/>
  <c r="N40" i="31"/>
  <c r="O40" i="31" s="1"/>
  <c r="P40" i="31" s="1"/>
  <c r="N29" i="31"/>
  <c r="O29" i="31" s="1"/>
  <c r="P29" i="31" s="1"/>
  <c r="N31" i="31"/>
  <c r="O31" i="31" s="1"/>
  <c r="P31" i="31" s="1"/>
  <c r="N28" i="31"/>
  <c r="O28" i="31" s="1"/>
  <c r="P28" i="31" s="1"/>
  <c r="M39" i="31"/>
  <c r="K39" i="31"/>
  <c r="L39" i="31"/>
  <c r="N41" i="31"/>
  <c r="O41" i="31" s="1"/>
  <c r="P41" i="31" s="1"/>
  <c r="N32" i="31"/>
  <c r="O32" i="31" s="1"/>
  <c r="P32" i="31" s="1"/>
  <c r="N30" i="31"/>
  <c r="O30" i="31" s="1"/>
  <c r="P30" i="31" s="1"/>
  <c r="P5" i="31"/>
  <c r="P33" i="31" l="1"/>
  <c r="P34" i="31" s="1"/>
  <c r="N39" i="31"/>
  <c r="O39" i="31" s="1"/>
  <c r="P39" i="31" s="1"/>
  <c r="P42" i="31" s="1"/>
  <c r="P43" i="31" s="1"/>
  <c r="P12" i="31"/>
  <c r="P13" i="31" s="1"/>
  <c r="P24" i="31" s="1"/>
  <c r="P45" i="31" l="1"/>
  <c r="D122" i="28" s="1"/>
  <c r="D126" i="28" s="1"/>
  <c r="D148" i="28" s="1"/>
  <c r="D120" i="9"/>
  <c r="D120" i="23"/>
  <c r="D120" i="14"/>
  <c r="D122" i="17"/>
  <c r="D123" i="27"/>
  <c r="D120" i="25" l="1"/>
  <c r="D123" i="19"/>
  <c r="S5" i="13" l="1"/>
  <c r="T5" i="13" s="1"/>
  <c r="C80" i="33" s="1"/>
  <c r="C81" i="33" l="1"/>
  <c r="D81" i="33" s="1"/>
  <c r="C86" i="33"/>
  <c r="D80" i="33"/>
  <c r="D86" i="33" s="1"/>
  <c r="C80" i="18"/>
  <c r="C78" i="25"/>
  <c r="C78" i="9"/>
  <c r="C78" i="23"/>
  <c r="C78" i="14"/>
  <c r="C79" i="14" s="1"/>
  <c r="C80" i="17"/>
  <c r="C81" i="27"/>
  <c r="C80" i="28"/>
  <c r="C81" i="19"/>
  <c r="C80" i="26"/>
  <c r="C134" i="17"/>
  <c r="C134" i="18"/>
  <c r="C132" i="9"/>
  <c r="C132" i="23"/>
  <c r="C134" i="26"/>
  <c r="C132" i="14"/>
  <c r="C132" i="25"/>
  <c r="C133" i="28"/>
  <c r="C135" i="19"/>
  <c r="C135" i="27"/>
  <c r="C81" i="25"/>
  <c r="C84" i="27"/>
  <c r="C83" i="28"/>
  <c r="C84" i="19"/>
  <c r="C83" i="17"/>
  <c r="C83" i="26"/>
  <c r="C83" i="18"/>
  <c r="C81" i="9"/>
  <c r="C97" i="25"/>
  <c r="C99" i="26"/>
  <c r="C97" i="9"/>
  <c r="C97" i="23"/>
  <c r="C99" i="18"/>
  <c r="C97" i="14"/>
  <c r="C99" i="28"/>
  <c r="C100" i="19"/>
  <c r="C99" i="17"/>
  <c r="C100" i="27"/>
  <c r="C132" i="28"/>
  <c r="C132" i="17"/>
  <c r="C132" i="18"/>
  <c r="C130" i="9"/>
  <c r="C130" i="23"/>
  <c r="C130" i="14"/>
  <c r="C133" i="19"/>
  <c r="C130" i="25"/>
  <c r="C132" i="26"/>
  <c r="C133" i="27"/>
  <c r="C98" i="26"/>
  <c r="C96" i="9"/>
  <c r="C96" i="23"/>
  <c r="C98" i="18"/>
  <c r="C96" i="14"/>
  <c r="C98" i="28"/>
  <c r="C96" i="25"/>
  <c r="C99" i="19"/>
  <c r="C98" i="17"/>
  <c r="C99" i="27"/>
  <c r="C96" i="28"/>
  <c r="C97" i="19"/>
  <c r="C96" i="17"/>
  <c r="C97" i="27"/>
  <c r="C96" i="18"/>
  <c r="C94" i="25"/>
  <c r="C94" i="14"/>
  <c r="C96" i="26"/>
  <c r="C94" i="9"/>
  <c r="C94" i="23"/>
  <c r="C101" i="27"/>
  <c r="C98" i="25"/>
  <c r="C100" i="26"/>
  <c r="C98" i="9"/>
  <c r="C98" i="23"/>
  <c r="C100" i="18"/>
  <c r="C98" i="14"/>
  <c r="C100" i="28"/>
  <c r="C101" i="19"/>
  <c r="C100" i="17"/>
  <c r="C95" i="9"/>
  <c r="C95" i="23"/>
  <c r="C97" i="18"/>
  <c r="C95" i="14"/>
  <c r="C98" i="27"/>
  <c r="C97" i="28"/>
  <c r="C98" i="19"/>
  <c r="C97" i="17"/>
  <c r="C95" i="25"/>
  <c r="C97" i="26"/>
  <c r="D147" i="33" l="1"/>
  <c r="O10" i="12"/>
  <c r="O12" i="12" s="1"/>
  <c r="O13" i="12" s="1"/>
  <c r="D95" i="33" s="1"/>
  <c r="N9" i="12"/>
  <c r="M9" i="12"/>
  <c r="L9" i="12"/>
  <c r="K9" i="12"/>
  <c r="J9" i="12"/>
  <c r="I9" i="12"/>
  <c r="H9" i="12"/>
  <c r="G9" i="12"/>
  <c r="F9" i="12"/>
  <c r="C95" i="33" l="1"/>
  <c r="D101" i="33"/>
  <c r="D114" i="33" s="1"/>
  <c r="D116" i="33" s="1"/>
  <c r="E9" i="12"/>
  <c r="C134" i="28"/>
  <c r="D108" i="28"/>
  <c r="D115" i="28" s="1"/>
  <c r="C52" i="28"/>
  <c r="C34" i="28"/>
  <c r="C33" i="28"/>
  <c r="D18" i="28"/>
  <c r="C136" i="27"/>
  <c r="D109" i="27"/>
  <c r="D116" i="27" s="1"/>
  <c r="C53" i="27"/>
  <c r="C35" i="27"/>
  <c r="C34" i="27"/>
  <c r="D19" i="27"/>
  <c r="D62" i="27" s="1"/>
  <c r="D108" i="26"/>
  <c r="D115" i="26" s="1"/>
  <c r="C52" i="26"/>
  <c r="C34" i="26"/>
  <c r="C33" i="26"/>
  <c r="D18" i="26"/>
  <c r="D61" i="26" s="1"/>
  <c r="C133" i="25"/>
  <c r="D106" i="25"/>
  <c r="D113" i="25" s="1"/>
  <c r="C50" i="25"/>
  <c r="C32" i="25"/>
  <c r="C31" i="25"/>
  <c r="D16" i="25"/>
  <c r="D23" i="25" s="1"/>
  <c r="D19" i="19"/>
  <c r="D62" i="19" s="1"/>
  <c r="D18" i="18"/>
  <c r="D61" i="18" s="1"/>
  <c r="D18" i="17"/>
  <c r="D61" i="17" s="1"/>
  <c r="D16" i="9"/>
  <c r="D23" i="9" s="1"/>
  <c r="C133" i="23"/>
  <c r="D106" i="23"/>
  <c r="D113" i="23" s="1"/>
  <c r="C50" i="23"/>
  <c r="C82" i="23" s="1"/>
  <c r="C33" i="23"/>
  <c r="C32" i="23"/>
  <c r="D17" i="23"/>
  <c r="D24" i="23" s="1"/>
  <c r="C33" i="14"/>
  <c r="D17" i="14"/>
  <c r="D59" i="25" l="1"/>
  <c r="D25" i="28"/>
  <c r="D61" i="28"/>
  <c r="D148" i="33"/>
  <c r="D150" i="33" s="1"/>
  <c r="D132" i="33"/>
  <c r="D98" i="25"/>
  <c r="D78" i="25"/>
  <c r="D80" i="25"/>
  <c r="D81" i="25"/>
  <c r="D95" i="25"/>
  <c r="D97" i="25"/>
  <c r="D94" i="25"/>
  <c r="D96" i="25"/>
  <c r="D83" i="25"/>
  <c r="D80" i="9"/>
  <c r="D81" i="9"/>
  <c r="D83" i="9"/>
  <c r="D78" i="9"/>
  <c r="D82" i="23"/>
  <c r="D83" i="23"/>
  <c r="D78" i="23"/>
  <c r="D80" i="23"/>
  <c r="D81" i="23"/>
  <c r="H3" i="12"/>
  <c r="H5" i="12" s="1"/>
  <c r="H6" i="12" s="1"/>
  <c r="C35" i="26"/>
  <c r="G3" i="12"/>
  <c r="D95" i="9"/>
  <c r="D97" i="9"/>
  <c r="D96" i="9"/>
  <c r="D94" i="9"/>
  <c r="D98" i="9"/>
  <c r="C35" i="28"/>
  <c r="C34" i="23"/>
  <c r="C33" i="25"/>
  <c r="D98" i="23"/>
  <c r="D96" i="23"/>
  <c r="D97" i="23"/>
  <c r="D95" i="23"/>
  <c r="D94" i="23"/>
  <c r="D26" i="27"/>
  <c r="C36" i="27"/>
  <c r="D25" i="26"/>
  <c r="D143" i="25"/>
  <c r="D32" i="25"/>
  <c r="D31" i="25"/>
  <c r="F3" i="12"/>
  <c r="F4" i="12" s="1"/>
  <c r="D134" i="33" l="1"/>
  <c r="D136" i="33" s="1"/>
  <c r="H4" i="12"/>
  <c r="D82" i="28"/>
  <c r="D83" i="28"/>
  <c r="D96" i="28"/>
  <c r="D85" i="28"/>
  <c r="D80" i="28"/>
  <c r="D83" i="27"/>
  <c r="D84" i="27"/>
  <c r="D81" i="27"/>
  <c r="D82" i="26"/>
  <c r="D85" i="26"/>
  <c r="D80" i="26"/>
  <c r="D83" i="26"/>
  <c r="D99" i="26"/>
  <c r="D100" i="26"/>
  <c r="D96" i="26"/>
  <c r="D97" i="26"/>
  <c r="D98" i="26"/>
  <c r="D99" i="28"/>
  <c r="D97" i="28"/>
  <c r="D100" i="28"/>
  <c r="D98" i="28"/>
  <c r="D33" i="25"/>
  <c r="D69" i="25" s="1"/>
  <c r="L3" i="12"/>
  <c r="L5" i="12" s="1"/>
  <c r="L6" i="12" s="1"/>
  <c r="D97" i="27"/>
  <c r="D101" i="27"/>
  <c r="D99" i="27"/>
  <c r="D100" i="27"/>
  <c r="D98" i="27"/>
  <c r="F5" i="12"/>
  <c r="F6" i="12" s="1"/>
  <c r="J3" i="12"/>
  <c r="N3" i="12"/>
  <c r="D34" i="28"/>
  <c r="D33" i="28"/>
  <c r="D144" i="28"/>
  <c r="D35" i="27"/>
  <c r="D34" i="27"/>
  <c r="D146" i="27"/>
  <c r="D34" i="26"/>
  <c r="D33" i="26"/>
  <c r="D145" i="26"/>
  <c r="D33" i="23"/>
  <c r="D32" i="23"/>
  <c r="D34" i="23" s="1"/>
  <c r="D143" i="23"/>
  <c r="D138" i="33" l="1"/>
  <c r="F138" i="33" s="1"/>
  <c r="D135" i="33"/>
  <c r="D139" i="33" s="1"/>
  <c r="D151" i="33" s="1"/>
  <c r="D152" i="33" s="1"/>
  <c r="D45" i="25"/>
  <c r="D44" i="25"/>
  <c r="D48" i="25"/>
  <c r="D43" i="25"/>
  <c r="D47" i="25"/>
  <c r="D49" i="25"/>
  <c r="L4" i="12"/>
  <c r="D42" i="25"/>
  <c r="D46" i="25"/>
  <c r="D35" i="26"/>
  <c r="D44" i="26" s="1"/>
  <c r="N4" i="12"/>
  <c r="N5" i="12"/>
  <c r="N6" i="12" s="1"/>
  <c r="D36" i="27"/>
  <c r="J5" i="12"/>
  <c r="J6" i="12" s="1"/>
  <c r="J4" i="12"/>
  <c r="D35" i="28"/>
  <c r="G152" i="33" l="1"/>
  <c r="D49" i="26"/>
  <c r="D47" i="26"/>
  <c r="D50" i="25"/>
  <c r="H7" i="12" s="1"/>
  <c r="D46" i="26"/>
  <c r="D48" i="26"/>
  <c r="D51" i="26"/>
  <c r="D45" i="26"/>
  <c r="D71" i="26"/>
  <c r="D50" i="26"/>
  <c r="D71" i="28"/>
  <c r="D47" i="28"/>
  <c r="D50" i="28"/>
  <c r="D48" i="28"/>
  <c r="D46" i="28"/>
  <c r="D49" i="28"/>
  <c r="D44" i="28"/>
  <c r="D45" i="28"/>
  <c r="D51" i="28"/>
  <c r="D48" i="27"/>
  <c r="D47" i="27"/>
  <c r="D72" i="27"/>
  <c r="D49" i="27"/>
  <c r="D45" i="27"/>
  <c r="D52" i="27"/>
  <c r="D50" i="27"/>
  <c r="D46" i="27"/>
  <c r="D51" i="27"/>
  <c r="D69" i="23"/>
  <c r="D46" i="23"/>
  <c r="D48" i="23"/>
  <c r="D49" i="23"/>
  <c r="D43" i="23"/>
  <c r="D44" i="23"/>
  <c r="D47" i="23"/>
  <c r="D45" i="23"/>
  <c r="D42" i="23"/>
  <c r="G12" i="35" l="1"/>
  <c r="H12" i="35" s="1"/>
  <c r="I12" i="35" s="1"/>
  <c r="J12" i="21"/>
  <c r="K12" i="21" s="1"/>
  <c r="I12" i="21" s="1"/>
  <c r="D50" i="23"/>
  <c r="D70" i="25"/>
  <c r="D52" i="26"/>
  <c r="J7" i="12" s="1"/>
  <c r="F7" i="12"/>
  <c r="N8" i="12"/>
  <c r="D65" i="28"/>
  <c r="D73" i="28" s="1"/>
  <c r="D52" i="28"/>
  <c r="N7" i="12" s="1"/>
  <c r="D53" i="27"/>
  <c r="L7" i="12" s="1"/>
  <c r="D72" i="26" l="1"/>
  <c r="D70" i="23"/>
  <c r="D72" i="28"/>
  <c r="D74" i="28" s="1"/>
  <c r="D145" i="28" s="1"/>
  <c r="D73" i="27"/>
  <c r="C84" i="26" l="1"/>
  <c r="D84" i="26" s="1"/>
  <c r="M8" i="12"/>
  <c r="D65" i="18"/>
  <c r="D63" i="23"/>
  <c r="G8" i="12"/>
  <c r="C84" i="28"/>
  <c r="D84" i="28" s="1"/>
  <c r="K8" i="12"/>
  <c r="C140" i="27"/>
  <c r="C82" i="25"/>
  <c r="D82" i="25" s="1"/>
  <c r="I8" i="12"/>
  <c r="C139" i="26"/>
  <c r="C85" i="27"/>
  <c r="D85" i="27" s="1"/>
  <c r="C137" i="23" l="1"/>
  <c r="L8" i="12"/>
  <c r="D66" i="27"/>
  <c r="D74" i="27" s="1"/>
  <c r="D75" i="27" s="1"/>
  <c r="D147" i="27" s="1"/>
  <c r="F8" i="12"/>
  <c r="D71" i="23"/>
  <c r="D72" i="23" s="1"/>
  <c r="D144" i="23" s="1"/>
  <c r="C138" i="28"/>
  <c r="C82" i="27"/>
  <c r="D82" i="27" s="1"/>
  <c r="C137" i="25"/>
  <c r="E11" i="12"/>
  <c r="J8" i="12"/>
  <c r="D65" i="26"/>
  <c r="D73" i="26" s="1"/>
  <c r="D74" i="26" s="1"/>
  <c r="D146" i="26" s="1"/>
  <c r="H8" i="12"/>
  <c r="D63" i="25"/>
  <c r="D71" i="25" s="1"/>
  <c r="D72" i="25" s="1"/>
  <c r="C79" i="25"/>
  <c r="E8" i="12"/>
  <c r="D144" i="25" l="1"/>
  <c r="D79" i="25"/>
  <c r="D84" i="25" s="1"/>
  <c r="C81" i="28"/>
  <c r="C84" i="25"/>
  <c r="I11" i="12"/>
  <c r="G11" i="12"/>
  <c r="C81" i="26"/>
  <c r="C79" i="23"/>
  <c r="D26" i="19"/>
  <c r="C136" i="19"/>
  <c r="C140" i="19" s="1"/>
  <c r="D109" i="19"/>
  <c r="D116" i="19" s="1"/>
  <c r="D66" i="19"/>
  <c r="D74" i="19" s="1"/>
  <c r="C53" i="19"/>
  <c r="C35" i="19"/>
  <c r="C34" i="19"/>
  <c r="C135" i="18"/>
  <c r="C139" i="18" s="1"/>
  <c r="D108" i="18"/>
  <c r="D115" i="18" s="1"/>
  <c r="D73" i="18"/>
  <c r="C52" i="18"/>
  <c r="C34" i="18"/>
  <c r="C33" i="18"/>
  <c r="D25" i="18"/>
  <c r="D65" i="17"/>
  <c r="C135" i="17"/>
  <c r="C139" i="17" s="1"/>
  <c r="D108" i="17"/>
  <c r="D115" i="17" s="1"/>
  <c r="C52" i="17"/>
  <c r="C34" i="17"/>
  <c r="C33" i="17"/>
  <c r="D25" i="17"/>
  <c r="C133" i="14"/>
  <c r="C137" i="14" s="1"/>
  <c r="D106" i="14"/>
  <c r="D113" i="14" s="1"/>
  <c r="C50" i="14"/>
  <c r="C82" i="14" s="1"/>
  <c r="C84" i="14" s="1"/>
  <c r="C32" i="14"/>
  <c r="D24" i="14"/>
  <c r="D145" i="25" l="1"/>
  <c r="H10" i="12"/>
  <c r="D32" i="14"/>
  <c r="D86" i="28"/>
  <c r="D81" i="28"/>
  <c r="D81" i="26"/>
  <c r="D86" i="26" s="1"/>
  <c r="D79" i="23"/>
  <c r="D84" i="23" s="1"/>
  <c r="F10" i="12" s="1"/>
  <c r="D80" i="18"/>
  <c r="D85" i="18"/>
  <c r="D97" i="18"/>
  <c r="D82" i="18"/>
  <c r="D83" i="18"/>
  <c r="D83" i="19"/>
  <c r="D84" i="19"/>
  <c r="D81" i="19"/>
  <c r="D85" i="17"/>
  <c r="D80" i="17"/>
  <c r="D82" i="17"/>
  <c r="D83" i="17"/>
  <c r="D82" i="14"/>
  <c r="D83" i="14"/>
  <c r="D78" i="14"/>
  <c r="D79" i="14"/>
  <c r="D80" i="14"/>
  <c r="D81" i="14"/>
  <c r="E3" i="12"/>
  <c r="D95" i="14"/>
  <c r="D96" i="14"/>
  <c r="D98" i="14"/>
  <c r="D94" i="14"/>
  <c r="D97" i="14"/>
  <c r="K3" i="12"/>
  <c r="K5" i="12" s="1"/>
  <c r="K6" i="12" s="1"/>
  <c r="D100" i="19"/>
  <c r="D99" i="19"/>
  <c r="D97" i="19"/>
  <c r="D98" i="19"/>
  <c r="D101" i="19"/>
  <c r="D96" i="17"/>
  <c r="D98" i="17"/>
  <c r="D99" i="17"/>
  <c r="D97" i="17"/>
  <c r="D100" i="17"/>
  <c r="M3" i="12"/>
  <c r="M5" i="12" s="1"/>
  <c r="M6" i="12" s="1"/>
  <c r="D98" i="18"/>
  <c r="D100" i="18"/>
  <c r="D96" i="18"/>
  <c r="D99" i="18"/>
  <c r="C84" i="23"/>
  <c r="D33" i="14"/>
  <c r="C86" i="26"/>
  <c r="D146" i="28"/>
  <c r="N10" i="12"/>
  <c r="C34" i="14"/>
  <c r="H11" i="12"/>
  <c r="H12" i="12" s="1"/>
  <c r="H13" i="12" s="1"/>
  <c r="D93" i="25" s="1"/>
  <c r="C93" i="25" s="1"/>
  <c r="F11" i="12"/>
  <c r="J11" i="12"/>
  <c r="I3" i="12"/>
  <c r="I4" i="12" s="1"/>
  <c r="M4" i="12"/>
  <c r="C86" i="28"/>
  <c r="C85" i="19"/>
  <c r="D85" i="19" s="1"/>
  <c r="C84" i="18"/>
  <c r="D84" i="18" s="1"/>
  <c r="C82" i="19"/>
  <c r="D82" i="19" s="1"/>
  <c r="C35" i="18"/>
  <c r="C84" i="17"/>
  <c r="D84" i="17" s="1"/>
  <c r="D71" i="14"/>
  <c r="D34" i="19"/>
  <c r="C36" i="19"/>
  <c r="D146" i="19"/>
  <c r="D35" i="19"/>
  <c r="D33" i="18"/>
  <c r="D145" i="18"/>
  <c r="D34" i="18"/>
  <c r="D73" i="17"/>
  <c r="D33" i="17"/>
  <c r="D145" i="17"/>
  <c r="C35" i="17"/>
  <c r="D34" i="17"/>
  <c r="D143" i="14"/>
  <c r="J10" i="12" l="1"/>
  <c r="D147" i="26"/>
  <c r="D145" i="23"/>
  <c r="K4" i="12"/>
  <c r="D34" i="14"/>
  <c r="D69" i="14" s="1"/>
  <c r="I5" i="12"/>
  <c r="I6" i="12" s="1"/>
  <c r="E4" i="12"/>
  <c r="E5" i="12"/>
  <c r="E6" i="12" s="1"/>
  <c r="D84" i="14"/>
  <c r="F12" i="12"/>
  <c r="J12" i="12"/>
  <c r="J13" i="12" s="1"/>
  <c r="D95" i="26" s="1"/>
  <c r="D35" i="17"/>
  <c r="D47" i="17" s="1"/>
  <c r="G5" i="12"/>
  <c r="G6" i="12" s="1"/>
  <c r="G4" i="12"/>
  <c r="D36" i="19"/>
  <c r="D46" i="19" s="1"/>
  <c r="D50" i="19"/>
  <c r="D35" i="18"/>
  <c r="D47" i="19" l="1"/>
  <c r="C95" i="26"/>
  <c r="D101" i="26"/>
  <c r="D45" i="19"/>
  <c r="D51" i="19"/>
  <c r="D51" i="17"/>
  <c r="D49" i="17"/>
  <c r="D48" i="17"/>
  <c r="D46" i="17"/>
  <c r="D44" i="17"/>
  <c r="D45" i="17"/>
  <c r="D50" i="17"/>
  <c r="D71" i="17"/>
  <c r="C81" i="18"/>
  <c r="C81" i="17"/>
  <c r="D47" i="14"/>
  <c r="D44" i="14"/>
  <c r="D46" i="14"/>
  <c r="D48" i="14"/>
  <c r="D43" i="14"/>
  <c r="D42" i="14"/>
  <c r="D45" i="14"/>
  <c r="D49" i="14"/>
  <c r="D52" i="19"/>
  <c r="D72" i="19"/>
  <c r="D49" i="19"/>
  <c r="D48" i="19"/>
  <c r="D71" i="18"/>
  <c r="D44" i="18"/>
  <c r="D48" i="18"/>
  <c r="D45" i="18"/>
  <c r="D46" i="18"/>
  <c r="D47" i="18"/>
  <c r="D49" i="18"/>
  <c r="D50" i="18"/>
  <c r="D51" i="18"/>
  <c r="D81" i="17" l="1"/>
  <c r="D86" i="17" s="1"/>
  <c r="D81" i="18"/>
  <c r="D86" i="18" s="1"/>
  <c r="M10" i="12" s="1"/>
  <c r="D50" i="14"/>
  <c r="E7" i="12" s="1"/>
  <c r="D52" i="17"/>
  <c r="I7" i="12" s="1"/>
  <c r="D145" i="14"/>
  <c r="E10" i="12"/>
  <c r="D53" i="19"/>
  <c r="K7" i="12" s="1"/>
  <c r="C86" i="18"/>
  <c r="C86" i="17"/>
  <c r="D52" i="18"/>
  <c r="M7" i="12" s="1"/>
  <c r="C32" i="9"/>
  <c r="C31" i="9"/>
  <c r="I10" i="12" l="1"/>
  <c r="D147" i="17"/>
  <c r="D147" i="18"/>
  <c r="E12" i="12"/>
  <c r="E13" i="12" s="1"/>
  <c r="D93" i="14" s="1"/>
  <c r="D72" i="17"/>
  <c r="D74" i="17" s="1"/>
  <c r="D146" i="17" s="1"/>
  <c r="C33" i="9"/>
  <c r="D31" i="9"/>
  <c r="D70" i="14"/>
  <c r="D72" i="14" s="1"/>
  <c r="D73" i="19"/>
  <c r="D75" i="19" s="1"/>
  <c r="D147" i="19" s="1"/>
  <c r="D72" i="18"/>
  <c r="C93" i="14" l="1"/>
  <c r="D99" i="14"/>
  <c r="D74" i="18"/>
  <c r="D146" i="18" s="1"/>
  <c r="D144" i="14"/>
  <c r="C133" i="9"/>
  <c r="C137" i="9" s="1"/>
  <c r="D106" i="9"/>
  <c r="D113" i="9" s="1"/>
  <c r="D71" i="9"/>
  <c r="C50" i="9"/>
  <c r="C82" i="9" l="1"/>
  <c r="D82" i="9" s="1"/>
  <c r="D32" i="9"/>
  <c r="D143" i="9"/>
  <c r="M11" i="12" l="1"/>
  <c r="M12" i="12" s="1"/>
  <c r="M13" i="12" s="1"/>
  <c r="D95" i="18" s="1"/>
  <c r="D124" i="23"/>
  <c r="D147" i="23" s="1"/>
  <c r="D124" i="25"/>
  <c r="D147" i="25" s="1"/>
  <c r="D126" i="26"/>
  <c r="D149" i="26" s="1"/>
  <c r="K11" i="12"/>
  <c r="D126" i="17"/>
  <c r="D124" i="9"/>
  <c r="C79" i="9"/>
  <c r="D33" i="9"/>
  <c r="D69" i="9" s="1"/>
  <c r="D79" i="9" l="1"/>
  <c r="D84" i="9" s="1"/>
  <c r="D145" i="9" s="1"/>
  <c r="C95" i="18"/>
  <c r="D101" i="18"/>
  <c r="D114" i="18" s="1"/>
  <c r="D116" i="18" s="1"/>
  <c r="D126" i="18"/>
  <c r="D149" i="18" s="1"/>
  <c r="D127" i="27"/>
  <c r="D150" i="27" s="1"/>
  <c r="L11" i="12"/>
  <c r="N11" i="12"/>
  <c r="N12" i="12" s="1"/>
  <c r="N13" i="12" s="1"/>
  <c r="D95" i="28" s="1"/>
  <c r="D101" i="28" s="1"/>
  <c r="D127" i="19"/>
  <c r="D150" i="19" s="1"/>
  <c r="C84" i="9"/>
  <c r="D147" i="9"/>
  <c r="D124" i="14"/>
  <c r="D147" i="14" s="1"/>
  <c r="F13" i="12"/>
  <c r="D93" i="23" s="1"/>
  <c r="C93" i="23" s="1"/>
  <c r="D149" i="17"/>
  <c r="I12" i="12"/>
  <c r="I13" i="12" s="1"/>
  <c r="D95" i="17" s="1"/>
  <c r="C95" i="17" s="1"/>
  <c r="D46" i="9"/>
  <c r="D42" i="9"/>
  <c r="D47" i="9"/>
  <c r="D45" i="9"/>
  <c r="D44" i="9"/>
  <c r="D49" i="9"/>
  <c r="D48" i="9"/>
  <c r="D43" i="9"/>
  <c r="G10" i="12" l="1"/>
  <c r="D101" i="17"/>
  <c r="D114" i="17" s="1"/>
  <c r="D116" i="17" s="1"/>
  <c r="D114" i="28"/>
  <c r="D116" i="28" s="1"/>
  <c r="C95" i="28"/>
  <c r="D148" i="18"/>
  <c r="D150" i="18" s="1"/>
  <c r="D132" i="18"/>
  <c r="D50" i="9"/>
  <c r="D134" i="18" l="1"/>
  <c r="D136" i="18" s="1"/>
  <c r="F137" i="18" s="1"/>
  <c r="D138" i="18"/>
  <c r="G7" i="12"/>
  <c r="G12" i="12" s="1"/>
  <c r="C101" i="17"/>
  <c r="D147" i="28"/>
  <c r="D149" i="28" s="1"/>
  <c r="D132" i="28"/>
  <c r="D133" i="28" s="1"/>
  <c r="D135" i="28" s="1"/>
  <c r="D114" i="26"/>
  <c r="D116" i="26" s="1"/>
  <c r="D99" i="23"/>
  <c r="D112" i="23" s="1"/>
  <c r="D114" i="23" s="1"/>
  <c r="C99" i="23"/>
  <c r="D148" i="17"/>
  <c r="D150" i="17" s="1"/>
  <c r="D132" i="17"/>
  <c r="D70" i="9"/>
  <c r="D72" i="9" s="1"/>
  <c r="D134" i="17" l="1"/>
  <c r="D136" i="17" s="1"/>
  <c r="D134" i="26"/>
  <c r="D138" i="26" s="1"/>
  <c r="D135" i="18"/>
  <c r="D139" i="18" s="1"/>
  <c r="D151" i="18" s="1"/>
  <c r="D152" i="18" s="1"/>
  <c r="G152" i="18" s="1"/>
  <c r="D135" i="17"/>
  <c r="D138" i="17"/>
  <c r="D144" i="9"/>
  <c r="G13" i="12"/>
  <c r="D93" i="9" s="1"/>
  <c r="C93" i="9" s="1"/>
  <c r="C99" i="9" s="1"/>
  <c r="D134" i="28"/>
  <c r="D138" i="28" s="1"/>
  <c r="D150" i="28" s="1"/>
  <c r="D151" i="28" s="1"/>
  <c r="H18" i="21" s="1"/>
  <c r="J18" i="21" s="1"/>
  <c r="K18" i="21" s="1"/>
  <c r="D146" i="23"/>
  <c r="D148" i="23" s="1"/>
  <c r="D130" i="23"/>
  <c r="D137" i="28"/>
  <c r="D148" i="26"/>
  <c r="D150" i="26" s="1"/>
  <c r="D132" i="26"/>
  <c r="D99" i="25"/>
  <c r="D112" i="25" s="1"/>
  <c r="D114" i="25" s="1"/>
  <c r="C99" i="25"/>
  <c r="F138" i="17" l="1"/>
  <c r="D135" i="26"/>
  <c r="H11" i="21"/>
  <c r="J11" i="21" s="1"/>
  <c r="K11" i="21" s="1"/>
  <c r="I11" i="21" s="1"/>
  <c r="D136" i="26"/>
  <c r="F138" i="26" s="1"/>
  <c r="D132" i="23"/>
  <c r="D134" i="23" s="1"/>
  <c r="D133" i="23"/>
  <c r="G11" i="35"/>
  <c r="H11" i="35" s="1"/>
  <c r="I11" i="35" s="1"/>
  <c r="I18" i="21"/>
  <c r="J20" i="21"/>
  <c r="D137" i="23"/>
  <c r="D149" i="23" s="1"/>
  <c r="D150" i="23" s="1"/>
  <c r="D139" i="26"/>
  <c r="D151" i="26" s="1"/>
  <c r="D152" i="26" s="1"/>
  <c r="D146" i="25"/>
  <c r="D148" i="25" s="1"/>
  <c r="D130" i="25"/>
  <c r="D139" i="17"/>
  <c r="D151" i="17" s="1"/>
  <c r="D152" i="17" s="1"/>
  <c r="D99" i="9"/>
  <c r="D112" i="9" s="1"/>
  <c r="D114" i="9" s="1"/>
  <c r="C99" i="14"/>
  <c r="H8" i="21" l="1"/>
  <c r="G8" i="35" s="1"/>
  <c r="H8" i="35" s="1"/>
  <c r="I8" i="35" s="1"/>
  <c r="G152" i="17"/>
  <c r="H5" i="21"/>
  <c r="G5" i="35" s="1"/>
  <c r="H5" i="35" s="1"/>
  <c r="I5" i="35" s="1"/>
  <c r="G150" i="23"/>
  <c r="D136" i="23"/>
  <c r="F136" i="23" s="1"/>
  <c r="H24" i="21"/>
  <c r="J24" i="21" s="1"/>
  <c r="K24" i="21" s="1"/>
  <c r="I24" i="21" s="1"/>
  <c r="G152" i="26"/>
  <c r="D132" i="25"/>
  <c r="D134" i="25" s="1"/>
  <c r="D133" i="25"/>
  <c r="D146" i="9"/>
  <c r="D148" i="9" s="1"/>
  <c r="J8" i="21"/>
  <c r="K8" i="21" s="1"/>
  <c r="I8" i="21" s="1"/>
  <c r="J5" i="21"/>
  <c r="K5" i="21" s="1"/>
  <c r="I5" i="21" s="1"/>
  <c r="D112" i="14"/>
  <c r="D114" i="14" s="1"/>
  <c r="D137" i="25"/>
  <c r="D149" i="25" s="1"/>
  <c r="D150" i="25" s="1"/>
  <c r="D130" i="9"/>
  <c r="J27" i="21" l="1"/>
  <c r="H7" i="21"/>
  <c r="G7" i="35" s="1"/>
  <c r="H7" i="35" s="1"/>
  <c r="I7" i="35" s="1"/>
  <c r="G150" i="25"/>
  <c r="D130" i="14"/>
  <c r="D136" i="25"/>
  <c r="F136" i="25" s="1"/>
  <c r="D132" i="9"/>
  <c r="D136" i="9" s="1"/>
  <c r="K20" i="21"/>
  <c r="I19" i="21"/>
  <c r="K26" i="21"/>
  <c r="D146" i="14"/>
  <c r="D148" i="14" s="1"/>
  <c r="J7" i="21" l="1"/>
  <c r="K7" i="21" s="1"/>
  <c r="I7" i="21" s="1"/>
  <c r="D132" i="14"/>
  <c r="D136" i="14" s="1"/>
  <c r="D134" i="9"/>
  <c r="F136" i="9" s="1"/>
  <c r="D133" i="9"/>
  <c r="D137" i="9" s="1"/>
  <c r="D149" i="9" s="1"/>
  <c r="D150" i="9" s="1"/>
  <c r="G150" i="9" s="1"/>
  <c r="K27" i="21"/>
  <c r="I26" i="21"/>
  <c r="D134" i="14" l="1"/>
  <c r="F137" i="14" s="1"/>
  <c r="D133" i="14"/>
  <c r="D137" i="14" s="1"/>
  <c r="D149" i="14" s="1"/>
  <c r="D150" i="14" s="1"/>
  <c r="G153" i="14" s="1"/>
  <c r="H6" i="21"/>
  <c r="H4" i="21"/>
  <c r="G6" i="35" l="1"/>
  <c r="H6" i="35" s="1"/>
  <c r="I6" i="35" s="1"/>
  <c r="J6" i="21"/>
  <c r="K6" i="21" s="1"/>
  <c r="I6" i="21" s="1"/>
  <c r="J4" i="21"/>
  <c r="K4" i="21" s="1"/>
  <c r="I4" i="21" s="1"/>
  <c r="G4" i="35"/>
  <c r="H4" i="35" s="1"/>
  <c r="I4" i="35" s="1"/>
  <c r="C87" i="19"/>
  <c r="D86" i="19"/>
  <c r="D87" i="19" s="1"/>
  <c r="D148" i="19" l="1"/>
  <c r="K10" i="12"/>
  <c r="K12" i="12" s="1"/>
  <c r="K13" i="12" s="1"/>
  <c r="D96" i="19" s="1"/>
  <c r="C96" i="19" l="1"/>
  <c r="D102" i="19"/>
  <c r="D115" i="19" s="1"/>
  <c r="D117" i="19" s="1"/>
  <c r="D149" i="19" l="1"/>
  <c r="D151" i="19" s="1"/>
  <c r="D133" i="19"/>
  <c r="D135" i="19" l="1"/>
  <c r="D140" i="19" s="1"/>
  <c r="D136" i="19"/>
  <c r="D137" i="19"/>
  <c r="D139" i="19"/>
  <c r="C87" i="27"/>
  <c r="D86" i="27"/>
  <c r="D87" i="27" s="1"/>
  <c r="F139" i="19" l="1"/>
  <c r="D152" i="19"/>
  <c r="D148" i="27"/>
  <c r="L10" i="12"/>
  <c r="L12" i="12" s="1"/>
  <c r="L13" i="12" s="1"/>
  <c r="D96" i="27" s="1"/>
  <c r="D153" i="19" l="1"/>
  <c r="G153" i="19" s="1"/>
  <c r="D102" i="27"/>
  <c r="D115" i="27" s="1"/>
  <c r="D117" i="27" s="1"/>
  <c r="C96" i="27"/>
  <c r="C102" i="27" s="1"/>
  <c r="H9" i="21" l="1"/>
  <c r="D149" i="27"/>
  <c r="D151" i="27" s="1"/>
  <c r="D133" i="27"/>
  <c r="J9" i="21" l="1"/>
  <c r="K9" i="21" s="1"/>
  <c r="I9" i="21" s="1"/>
  <c r="G9" i="35"/>
  <c r="H9" i="35" s="1"/>
  <c r="I9" i="35" s="1"/>
  <c r="D135" i="27"/>
  <c r="D137" i="27" s="1"/>
  <c r="F139" i="27" s="1"/>
  <c r="D136" i="27"/>
  <c r="D139" i="27"/>
  <c r="D140" i="27"/>
  <c r="D152" i="27" s="1"/>
  <c r="D153" i="27" l="1"/>
  <c r="G153" i="27" s="1"/>
  <c r="H10" i="21" l="1"/>
  <c r="I13" i="21" l="1"/>
  <c r="J10" i="21"/>
  <c r="G10" i="35"/>
  <c r="H10" i="35" s="1"/>
  <c r="I10" i="35" s="1"/>
  <c r="I14" i="35" s="1"/>
  <c r="J14" i="21" l="1"/>
  <c r="K10" i="21"/>
  <c r="K14" i="21" s="1"/>
  <c r="I43" i="21" s="1"/>
  <c r="I10" i="21" l="1"/>
</calcChain>
</file>

<file path=xl/sharedStrings.xml><?xml version="1.0" encoding="utf-8"?>
<sst xmlns="http://schemas.openxmlformats.org/spreadsheetml/2006/main" count="2791" uniqueCount="359">
  <si>
    <t>Adicional Noturno</t>
  </si>
  <si>
    <t>Total</t>
  </si>
  <si>
    <t>Férias</t>
  </si>
  <si>
    <t>SEBRAE</t>
  </si>
  <si>
    <t>INCRA</t>
  </si>
  <si>
    <t>FGTS</t>
  </si>
  <si>
    <t>Insumos Diversos</t>
  </si>
  <si>
    <t>Custos Indiretos, Tributos e Lucro</t>
  </si>
  <si>
    <t>Custos Indiretos</t>
  </si>
  <si>
    <t>Tributos</t>
  </si>
  <si>
    <t>Lucro</t>
  </si>
  <si>
    <t>Módulo 1 - Composição da Remuneração</t>
  </si>
  <si>
    <t>Composição da Remuneração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</si>
  <si>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</si>
  <si>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</si>
  <si>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</si>
  <si>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</si>
  <si>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</si>
  <si>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</si>
  <si>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</si>
  <si>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</si>
  <si>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E</t>
  </si>
  <si>
    <t>Adicional de Hora Noturna Reduzida</t>
  </si>
  <si>
    <t>F</t>
  </si>
  <si>
    <t>G</t>
  </si>
  <si>
    <t>Outros (especificar)</t>
  </si>
  <si>
    <t>Módulo 2 - Encargos e Benefícios Anuais, Mensais e Diários</t>
  </si>
  <si>
    <t>Submódulo 2.1 - 13º (décimo terceiro) Salário, Férias e Adicional de Férias</t>
  </si>
  <si>
    <t>2.1</t>
  </si>
  <si>
    <t>13º (décimo terceiro) Salário, Férias e Adicional de Férias</t>
  </si>
  <si>
    <t>13º (décimo terceiro) Salário</t>
  </si>
  <si>
    <t>Férias e Adicional de Férias</t>
  </si>
  <si>
    <t>Submódulo 2.2 - Encargos Previdenciários (GPS), Fundo de Garantia por Tempo de Serviço (FGTS) e outras contribuições.</t>
  </si>
  <si>
    <t>2.2</t>
  </si>
  <si>
    <t>GPS, FGTS e outras contribuições</t>
  </si>
  <si>
    <t>Percentual (%)</t>
  </si>
  <si>
    <t>INSS</t>
  </si>
  <si>
    <t>Salário Educação</t>
  </si>
  <si>
    <t>SAT</t>
  </si>
  <si>
    <t>SESC ou SESI</t>
  </si>
  <si>
    <t>SENAI - SENAC</t>
  </si>
  <si>
    <t>H</t>
  </si>
  <si>
    <t xml:space="preserve">Total </t>
  </si>
  <si>
    <t>Submódulo 2.3 - Benefícios Mensais e Diários.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</si>
  <si>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</si>
  <si>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</si>
  <si>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</si>
  <si>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</si>
  <si>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</si>
  <si>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</si>
  <si>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</si>
  <si>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</si>
  <si>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</si>
  <si>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</si>
  <si>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 sobre o Aviso Prévio Trabalhado</t>
  </si>
  <si>
    <t>Multa do FGTS e contribuição social sobre o Aviso Prévio Trabalhado</t>
  </si>
  <si>
    <t>Módulo 4 - Custo de Reposição do Profissional Ausente</t>
  </si>
  <si>
    <t>Submódulo 4.1 - Ausências Legais</t>
  </si>
  <si>
    <t>4.1</t>
  </si>
  <si>
    <t>Ausências Legais</t>
  </si>
  <si>
    <t>Licença-Paternidade</t>
  </si>
  <si>
    <t>Ausência por acidente de trabalho</t>
  </si>
  <si>
    <t>Afastamento Maternidade</t>
  </si>
  <si>
    <t>Submódulo 4.2 - Intrajornada</t>
  </si>
  <si>
    <t>4.2</t>
  </si>
  <si>
    <t>Intrajornada</t>
  </si>
  <si>
    <t>Quadro-Resumo do Módulo 4 - Custo de Reposição do Profissional Ausente</t>
  </si>
  <si>
    <t>Custo de Reposição do Profissional Ausente</t>
  </si>
  <si>
    <t>Módulo 5 - Insumos Diversos</t>
  </si>
  <si>
    <t>Uniformes</t>
  </si>
  <si>
    <t>Materiais</t>
  </si>
  <si>
    <t>Módulo 6 - Custos Indiretos, Tributos e Lucro</t>
  </si>
  <si>
    <t>C.2. Tributos Estaduais (especificar)</t>
  </si>
  <si>
    <t>C.3. Tributos Municipais (especificar)</t>
  </si>
  <si>
    <t>2. QUADRO-RESUMO DO CUSTO POR EMPREGADO</t>
  </si>
  <si>
    <t>Mão de obra vinculada à execução contratual (valor por empregado)</t>
  </si>
  <si>
    <t>Subtotal (A + B +C+ D+E)</t>
  </si>
  <si>
    <t>Módulo 6 – Custos Indiretos, Tributos e Lucro</t>
  </si>
  <si>
    <t xml:space="preserve">Valor Total por Empregado </t>
  </si>
  <si>
    <t>PLANILHA DE CUSTOS E FORMAÇÃO DE PREÇOS</t>
  </si>
  <si>
    <t>MODELO PARA A CONSOLIDAÇÃO E APRESENTAÇÃO DE PROPOSTAS</t>
  </si>
  <si>
    <t>Com ajustes após publicação da Lei n° 13.467, de 2017.</t>
  </si>
  <si>
    <t>Intervalo para repouso e alimentação</t>
  </si>
  <si>
    <t>ITEM</t>
  </si>
  <si>
    <t>DESCRIÇÃO</t>
  </si>
  <si>
    <t>Recepcionista</t>
  </si>
  <si>
    <t>Copeiro</t>
  </si>
  <si>
    <t>Mensageiro</t>
  </si>
  <si>
    <t>Seguro de Vida</t>
  </si>
  <si>
    <t>Equipamentos (Ponto Eletrônico)</t>
  </si>
  <si>
    <t>C.1. Tributos Federais (PIS + COFINS)</t>
  </si>
  <si>
    <t xml:space="preserve">Percentual </t>
  </si>
  <si>
    <t>Nota 1: Como a planilha de custos e formação de preços é calculada mensalmente, provisiona-se proporcionalmente 1/12 (um doze avos) dos valores referentes a gratificação natalina, férias e adicional de férias. (Redação dada pela Instrução Normativa nº 7, de 2018)</t>
  </si>
  <si>
    <t>Nota 2: O adicional de férias contido no Submódulo 2.1 corresponde a 1/3 (um terço) da remuneração que por sua vez é divido por 12 (doze) conforme Nota 1 acima.</t>
  </si>
  <si>
    <t>Nota 3: Levando em consideração a vigência contratual prevista no art. 57 da Lei nº 8.666, de 23 de junho de 1993, a rubrica férias tem como objetivo principal suprir a necessidade do pagamento das férias remuneradas ao final do contrato de 12 meses. Esta rubrica, quando da prorrogação contratual, torna-se custo não renovável.  (Incluído pela Instrução Normativa nº 7, de 2018)</t>
  </si>
  <si>
    <t>Nota 1: Os percentuais dos encargos previdenciários, do FGTS e demais contribuições são aqueles estabelecidos pela legislação vigente.</t>
  </si>
  <si>
    <t>Nota 2: O SAT a depender do grau de risco do serviço irá variar entre 1%, para risco leve, de 2%, para risco médio, e de 3% de risco grave.</t>
  </si>
  <si>
    <t>Nota 3: Esses percentuais incidem sobre o Módulo 1, o Submódulo 2.1. (Redação dada pela Instrução Normativa nº 7, de 2018)</t>
  </si>
  <si>
    <t>Provisão para Rescisção</t>
  </si>
  <si>
    <t xml:space="preserve"> Encargos Previdenciários (GPS), Fundo de Garantia por Tempo de Serviço (FGTS) e outras contribuições.</t>
  </si>
  <si>
    <t>1/3 de Férias</t>
  </si>
  <si>
    <t>13º Terceiro Salario</t>
  </si>
  <si>
    <t>Salário</t>
  </si>
  <si>
    <t>Descrição</t>
  </si>
  <si>
    <t>Custo de Reposição do Profissional residente  Nas Férias</t>
  </si>
  <si>
    <t xml:space="preserve">B </t>
  </si>
  <si>
    <t>Percentual 4</t>
  </si>
  <si>
    <t>Percentual 3</t>
  </si>
  <si>
    <t>Percentual 2</t>
  </si>
  <si>
    <t xml:space="preserve">Substituto na cobertura de  ausências por Doença </t>
  </si>
  <si>
    <t>Substituto na cobertura de Afastamento Maternidade</t>
  </si>
  <si>
    <t>Substituto na cobertura de Ausência por acidente de trabalho</t>
  </si>
  <si>
    <t>Substituto na cobertura de Licença-Paternidade</t>
  </si>
  <si>
    <t>Substituto na cobertura de Ausências Legais</t>
  </si>
  <si>
    <t>Valor 4</t>
  </si>
  <si>
    <t>Valor 3</t>
  </si>
  <si>
    <t>Valor 2</t>
  </si>
  <si>
    <t>Valor 1</t>
  </si>
  <si>
    <t>Substituto nas Ausências Legais</t>
  </si>
  <si>
    <t xml:space="preserve">Aviso prévio trabalhado       </t>
  </si>
  <si>
    <t xml:space="preserve">Aviso Prévio Indenizado    </t>
  </si>
  <si>
    <t>Aux. Adm. IV</t>
  </si>
  <si>
    <t xml:space="preserve">Recepcionista </t>
  </si>
  <si>
    <t>Multa do FGTS sobre o Aviso Prévio Indenizado</t>
  </si>
  <si>
    <t>Multa do FGTS  sobre o Aviso Prévio Trabalhado</t>
  </si>
  <si>
    <t>CBO</t>
  </si>
  <si>
    <t>4221-05</t>
  </si>
  <si>
    <t>5134-25</t>
  </si>
  <si>
    <t>4122-05</t>
  </si>
  <si>
    <t>4110-10</t>
  </si>
  <si>
    <t>CARGOS/OCUPAÇÃO</t>
  </si>
  <si>
    <t>A.1</t>
  </si>
  <si>
    <t>CATSER</t>
  </si>
  <si>
    <t>Valor 5</t>
  </si>
  <si>
    <t>Valor 6</t>
  </si>
  <si>
    <t>DISCRIMINAÇÃO DOS SERVIÇOS (DADOS REFERENTES À CONTRATAÇÃO)</t>
  </si>
  <si>
    <t>Número de meses de execução contratual:</t>
  </si>
  <si>
    <t>Tipo de serviço (mesmo serviço com características distintas)</t>
  </si>
  <si>
    <t>Convenção Coletiva de Trabalho</t>
  </si>
  <si>
    <t>Data base da categoria (dia/mês/ano)</t>
  </si>
  <si>
    <t>Salário Normativo da Categoria Profissional</t>
  </si>
  <si>
    <t>Classificação Brasileira de ocupações - CBO</t>
  </si>
  <si>
    <t>UNIDADE</t>
  </si>
  <si>
    <t>Secretária Nível Superior Pleno</t>
  </si>
  <si>
    <t>Secretária Nível Superior Júnior</t>
  </si>
  <si>
    <t>Auxiliar Administrativo Nível IV</t>
  </si>
  <si>
    <t>Encarregado de Serviços Gerais</t>
  </si>
  <si>
    <t>Posto</t>
  </si>
  <si>
    <t xml:space="preserve">	Jardineiro</t>
  </si>
  <si>
    <t>Almoxarife III</t>
  </si>
  <si>
    <t>Motorista</t>
  </si>
  <si>
    <t>4101-05</t>
  </si>
  <si>
    <t>6220-10</t>
  </si>
  <si>
    <t>4141-05</t>
  </si>
  <si>
    <t>5134-20</t>
  </si>
  <si>
    <t>7823-05</t>
  </si>
  <si>
    <t>2523-05</t>
  </si>
  <si>
    <t>SECRETÁRIA NÍVEL SUPERIOR PLENO</t>
  </si>
  <si>
    <t>Auxilio Plano de Assistência e Cuidado Pessoal - Cláusula 48ª da C.C.T</t>
  </si>
  <si>
    <t>SECRETÁRIA NÍVEL SUPERIOR JUNHIOR</t>
  </si>
  <si>
    <t>AUXILIAR ADMINISTRATIVO NÍVEL IV</t>
  </si>
  <si>
    <t>ENCARREGADO DE SERVIÇOS GERAIS</t>
  </si>
  <si>
    <t>Jardineiro</t>
  </si>
  <si>
    <t>Secretária Superior Nével Pleno</t>
  </si>
  <si>
    <t>Auxilio Plano de Assistência e Cuidado Pessoal</t>
  </si>
  <si>
    <t>Total Anual</t>
  </si>
  <si>
    <t>Total Mensal</t>
  </si>
  <si>
    <t>Secretária Superior Nével Junhior</t>
  </si>
  <si>
    <t>Unidade</t>
  </si>
  <si>
    <t>crachá de identificação do funcionário, confeccionado em material resistente, com cordão.</t>
  </si>
  <si>
    <t>Quant. Anual</t>
  </si>
  <si>
    <t>Quantidade</t>
  </si>
  <si>
    <t>Crachá de identificação do funcionário, confeccionado em material resistente, com cordão.</t>
  </si>
  <si>
    <t>Calça brim</t>
  </si>
  <si>
    <t>Bata manga curta brim</t>
  </si>
  <si>
    <t>Botas de borracha (tipo galocha) cano médio</t>
  </si>
  <si>
    <t>Par de meias, 100% algodão;</t>
  </si>
  <si>
    <t>Cinto</t>
  </si>
  <si>
    <t>Boné</t>
  </si>
  <si>
    <t xml:space="preserve">Nº </t>
  </si>
  <si>
    <t>N</t>
  </si>
  <si>
    <t>EQUIPAMENTOS E EPIs A SEREM UTILIZADOS NOS SERVIÇOS DE JADINAGEM (INCLUSOS NO VALOR MENSAL DOS SERVIÇOS)</t>
  </si>
  <si>
    <t>Discriminação</t>
  </si>
  <si>
    <t>Métrica</t>
  </si>
  <si>
    <t>Vida Útil (ano)</t>
  </si>
  <si>
    <t>Vassoura plástica para gramado, com 22 dentes e cabo</t>
  </si>
  <si>
    <t>UND</t>
  </si>
  <si>
    <t>Regador de plastico 10 litros</t>
  </si>
  <si>
    <t>Irrigador giratório com 3 jatos</t>
  </si>
  <si>
    <t>Aspersor rotor</t>
  </si>
  <si>
    <t>Aspersor Spray Escamoteável 4"</t>
  </si>
  <si>
    <t>Conexão Flexível para aspersor</t>
  </si>
  <si>
    <t>Bocais rotativos, 180º, para aspersor</t>
  </si>
  <si>
    <t>Engate rápido de plastico 1/2"</t>
  </si>
  <si>
    <t>Mangueira de jardim, 100 metros</t>
  </si>
  <si>
    <t>Pulverizador jardinagem 2litros</t>
  </si>
  <si>
    <t>Ancinho metálico com 16 dentes para jardim com cabo</t>
  </si>
  <si>
    <t>Tesoura para podar de uma mão</t>
  </si>
  <si>
    <t>Tesoura para podar grama</t>
  </si>
  <si>
    <t>Enxada larga</t>
  </si>
  <si>
    <t>Sacho 2 pontas com cabo</t>
  </si>
  <si>
    <t>Pá de bico com cabo</t>
  </si>
  <si>
    <t>Pazinha para jardinagem larga</t>
  </si>
  <si>
    <t>Facão de 20 polegadas</t>
  </si>
  <si>
    <t>Serrote 22 polegadas</t>
  </si>
  <si>
    <t>Picareta Chibanca, com cabo de madeira</t>
  </si>
  <si>
    <t>Carrinho de mão para jardinagem pneumatico</t>
  </si>
  <si>
    <t>Roçadeira à diesel ou gasolina</t>
  </si>
  <si>
    <t>Podadeira à diesel ou gasolina</t>
  </si>
  <si>
    <t>Cerca de proteção para a jardinagem 20 metros </t>
  </si>
  <si>
    <t>METRO</t>
  </si>
  <si>
    <t>Mascara de proteção facial ao meno 10 anuais</t>
  </si>
  <si>
    <t>Protetor auricular tipo concha 1 unidade anual</t>
  </si>
  <si>
    <t xml:space="preserve">Valor Toal </t>
  </si>
  <si>
    <t xml:space="preserve">Pesquisa de  custos de mão de obra  -  Secretário, Auxiliar Administrativo IV </t>
  </si>
  <si>
    <t xml:space="preserve">Pregão Eletrônico N° 90003/2024 (Lei 14.133/2021)
UASG 158718 - UNIVERSIDADE FEDERAL DO SUL E SUDESTE DO PARÁ
Data da Compra:   29/08/2024
Fornecedor: L G SERVICOS PROFISSIONAIS LTDA
Objeto: Pregão Eletrônico - Contratação de serviços de Logística com fornecimento de mão de obra sendo motoristas profissionais, carregadores, assistentes de logística e supervisor de logística
</t>
  </si>
  <si>
    <t xml:space="preserve">Pregão Eletrônico N° 90001/2024 (SRP) (Lei 14.133/2021)
UASG 158308 -INST.FED.PARÁ/CAMPUS CASTANHAL
GRUPO:3
EMPRESA : OFICCE
Data da Compra: 15/07/2024
Objeto: Pregão Eletrônico - Contratação de pessoa jurídica para prestação de serviços continuados de apoio administrativo e operacionais decampo ao IFPA Campus Castanhal.
</t>
  </si>
  <si>
    <t xml:space="preserve">Pregão Eletrônico N° 90001/2024 (SRP) (Lei 14.133/2021)
UASG 158308 -INST.FED.PARÁ/CAMPUS CASTANHAL
GRUPOS: 1 e 2
EMPRESA : L G SERVICOS PROFISSIONAIS
Data da Compra: 15/07/2024
Objeto: Pregão Eletrônico - Contratação de pessoa jurídica para prestação de serviços continuados de apoio administrativo e operacionais decampo ao IFPA Campus Castanhal.
</t>
  </si>
  <si>
    <t>Pregão Eletrônico N° 90002/2024 (Lei 14.133/2021)
UASG 200076 - PROCURADORIA REG.DO TRABALHO 8ª. REGIAO-PA
Data da Compra
03/07/2024
Objeto da Compra
Objeto: O objeto da licitação é a Contratação de Serviço de Limpeza e Conservação, Recepcionista e Auxiliar Administrativo, para a Procuradoria do Trabalho no Município de Marabá/PA</t>
  </si>
  <si>
    <t>Percentual 5</t>
  </si>
  <si>
    <t>Valor 8</t>
  </si>
  <si>
    <t>Pregão Eletrônico N° 90005/2024 (Lei 14.133/2021)
UASG 170217 - SUP.REGIONAL RECEITA FEDERAL 2A.RF/PA
Data da Compra: 21/03/2024
Objeto: Serviço terceirizado com regime de dedicação exclusiva de mão deobra para postos diversos, de tratador de animais, motorista, copeira, carregador e auxiliar de manutenção predial.</t>
  </si>
  <si>
    <t>Média</t>
  </si>
  <si>
    <t>Mediana</t>
  </si>
  <si>
    <t>Desvio Padrão</t>
  </si>
  <si>
    <t>Coeficiênte de Variação - CV</t>
  </si>
  <si>
    <t>Valor Estimado (Regra CV≤25%: Média; Caso contrário: Mediana)</t>
  </si>
  <si>
    <t>Percentual 8</t>
  </si>
  <si>
    <t>TOTAL ANUAL</t>
  </si>
  <si>
    <t>TOTAL MENSAL</t>
  </si>
  <si>
    <t>TOTAL  ANUAL</t>
  </si>
  <si>
    <t>Media</t>
  </si>
  <si>
    <t xml:space="preserve">Desvio Padrão </t>
  </si>
  <si>
    <t>CV</t>
  </si>
  <si>
    <r>
      <t>CARGO:</t>
    </r>
    <r>
      <rPr>
        <sz val="12"/>
        <color theme="1"/>
        <rFont val="Arial"/>
        <family val="2"/>
      </rPr>
      <t xml:space="preserve">  JARDINEIRO</t>
    </r>
  </si>
  <si>
    <t>Valor Unitáio Estimado 
(Regra CV≤25%: Média; Caso contrário: Mediana)</t>
  </si>
  <si>
    <t>Total Estimado</t>
  </si>
  <si>
    <t>UNIFORMES</t>
  </si>
  <si>
    <t>DISCRIMINAÇÃO (FEMININO)</t>
  </si>
  <si>
    <t>QTDE (12 MESES)</t>
  </si>
  <si>
    <t>Blaser - Em tecido microfibra ou oxford, forrado internamente, inclusive na manga, com emblema da empresa bordado no lado superior esquerdo, com corte na parte traseira inferior e adequado às peculiaridades climáticas da localidade de prestação dos serviços.</t>
  </si>
  <si>
    <t>Calça - Comprida, modelo social feminino, de mesmo tecido e cor do paletó, com fechamento frontal por zíper.</t>
  </si>
  <si>
    <t>Camisa social - De manga comprida com punho simples, gola com entretela compatível com o modelo e fechamento frontal.</t>
  </si>
  <si>
    <t>Lenço - Em crepe coxibo ou similar, tipo laço com entretela compatível com o modelo.</t>
  </si>
  <si>
    <t>Sapato - Cor preta, social, salto baixo, de couro, modelo "scarpin" ou boneca.</t>
  </si>
  <si>
    <t>Meias - Cor preta, tipo social.</t>
  </si>
  <si>
    <t>VALOR TOTAL DO UNIFORME (FEMININO)</t>
  </si>
  <si>
    <t>DISCRIMINAÇÃO (MASCULINO)</t>
  </si>
  <si>
    <t>Calça - Comprida, modelo social masculino, tecido microfibra ou Oxford, com braguilha forrada, 02 bolsos laterais, 02 traseiros e presilhas para cinto.</t>
  </si>
  <si>
    <t>Camisa social - Com mangas compridas e punho simples, gola com entretela e emblema da empresa bordado no lado superior esquerdo.</t>
  </si>
  <si>
    <t>Sapato - Cor preta, tipo social.</t>
  </si>
  <si>
    <t>VALOR TOTAL DO UNIFORME (MUSCULINO)</t>
  </si>
  <si>
    <t>VALOR MÉDIO (FEM/MASC)</t>
  </si>
  <si>
    <t>Calça - Comprida, modelo social feminino, tecido microfibra ou oxford, com fechamento frontal por zíper.</t>
  </si>
  <si>
    <t>Blusa - De manga comprida com punho simples, gola com entretela compatível com o modelo e fechamento frontal.</t>
  </si>
  <si>
    <t>Calça - Comprida, modelo social masculino, tecido microfibra ou oxiford, com fechamento frontal por zíper.</t>
  </si>
  <si>
    <t>Sapato - Cor preta, tipo social, de couro.</t>
  </si>
  <si>
    <t>CARGO: COPEIRO</t>
  </si>
  <si>
    <t>Vestido - Em tecido oxford, de alta qualidade, modelo com manga, na altura do joelho, padronagem tecido liso, com detalhes em segunda cor a combinar;</t>
  </si>
  <si>
    <t>Avental - Em oxford, com bolso frontal.</t>
  </si>
  <si>
    <t>Touca - De proteção para cabelo, em tecido filó, com acabamento em tecido tipo malha.</t>
  </si>
  <si>
    <t>Calça - Comprida, modelo social masculino, tecido microfibra ou oxiford, com fechamento frontal por zíper.Comprida, modelo social masculino, tecido microfibra ou Oxford, com fechamento frontal por zíper.</t>
  </si>
  <si>
    <t>Blusa - Jaleco copeiro modelo platina gola de padre, de manga comprida com punho simples e fechamento frontal.</t>
  </si>
  <si>
    <t>CARGOS: Secretária Nível Superior Pleno, Secretária Nível Superior Júnhior, Auxiliar administrativo IV, , Recepcionista, Almoxarife III. </t>
  </si>
  <si>
    <t>VALOR UNITÁRIO 1
PREGÃO 09/2021 SUDAM.
CONTRATANTE SUDAM.
EMPRESA: DIAMOND. 
CONTRATO 02/2022. 
VIGÊNCIA : 15/02/2022 ATÉ 15/02/2027
(Preço Reajustado com IPCA de 15,58%, referente a fev/2022  jan/2025)</t>
  </si>
  <si>
    <t>VALOR UNITÁRIO 2
Pesquisa com Fornecedor 
Empresa:  Tempory Serviços Ltda CNPJ: 23.274.187/0001-17
Data: 20/02/2025;</t>
  </si>
  <si>
    <t>Valor Unitário 3:
PREGÃO ELETRÔNICO: Nº 90003/2024,
EMPRESA: LG SERVIÇOS PROFISSIONAIS LTDA;
DATA: 28/08/2024</t>
  </si>
  <si>
    <t>VALOR UNITÁRIO 4
Pregão Eletrônico N° 90001/2024 (Lei 14.133/2021)
UASG 373037 - SUPERINTENDENCIA REGIONAL DE SANTAREM-SR
Data da Compra: 22/03/2024
Empresa: DIAMOND</t>
  </si>
  <si>
    <t xml:space="preserve">Valor Unitário 3:
Pregão Eletrônico N° 90006/2024 (Lei 14.133/2021)
UASG 240125 - MUSEU PARAENSE EMILIO GOELDI
Emprsa: L G SERVICOS PROFISSIONAIS LTDA
Data: 25/07/2024
</t>
  </si>
  <si>
    <r>
      <t>Materiais de Jardinagem</t>
    </r>
    <r>
      <rPr>
        <sz val="8"/>
        <color rgb="FF0070C0"/>
        <rFont val="Book Antiqua"/>
        <family val="1"/>
      </rPr>
      <t xml:space="preserve"> . O valor deste item não sofrerá oferta de lance, devendo permanecer inalterado, mantido o valor estimado no cadastro e na proposta da licitante. </t>
    </r>
  </si>
  <si>
    <r>
      <t xml:space="preserve">Custo com  Hora Extras  e Deslocamento de motoristas (Diarias + hospedagem + alimentação). </t>
    </r>
    <r>
      <rPr>
        <sz val="8"/>
        <color rgb="FF0070C0"/>
        <rFont val="Book Antiqua"/>
        <family val="1"/>
      </rPr>
      <t>O valor deste item não sofrerá oferta de lance, devendo permanecer inalterado, mantido o valor estimado no cadastro e na proposta da licitante.</t>
    </r>
  </si>
  <si>
    <r>
      <t xml:space="preserve">Custo com  Hora Extras de funcionários. </t>
    </r>
    <r>
      <rPr>
        <sz val="8"/>
        <color rgb="FF0070C0"/>
        <rFont val="Book Antiqua"/>
        <family val="1"/>
      </rPr>
      <t>O valor deste item não sofrerá oferta de lance, devendo permanecer inalterado, mantido o valor estimado no cadastro e na proposta da licitante.</t>
    </r>
  </si>
  <si>
    <t>Outros (Custo de manutenção de depósito de conta Vinculada = R$ 155/2(funcionários do Grupo 3)</t>
  </si>
  <si>
    <t xml:space="preserve">
Pesquisa com Fornecedor 
Empresa:  MANACAPURU LIMPEZA E CONSERVAÇÃO LTDA
CNPJ: 17.303.236/0001-08 
Data: 26/02/2025;
</t>
  </si>
  <si>
    <t>VALOR UNITÁRIO 1
Pesquisa com Fornecedor 
Empresa:  Tempory Serviços Ltda CNPJ: 23.274.187/0001-17
Data: 20/02/2025;</t>
  </si>
  <si>
    <t>VALOR UNITÁRIO 1
Pesquisa com Fornecedor 
Empresa:  Tempory Serviços Ltda CNPJ: 23.274.187/0001-17
Data: 20/02/2025</t>
  </si>
  <si>
    <t xml:space="preserve">Total Mensal </t>
  </si>
  <si>
    <t>Valor Unitário Estimado (Regra CV≤25%: Média; Caso contrário: Mediana)</t>
  </si>
  <si>
    <t>VALOR UNITÁRIO 2
Pesquisa com Fornecedor 
Empresa:  MANACAPURU LIMPEZA E CONSERVAÇÃO LTDA
CNPJ: 17.303.236/0001-08 
Data: 26/02/2025;</t>
  </si>
  <si>
    <t xml:space="preserve">Valor Unitário 5
Pregão Eletrônico N° 90006/2024 (Lei 14.133/2021)
UASG 240125 - MUSEU PARAENSE EMILIO GOELDI
Emprsa: L G SERVICOS PROFISSIONAIS LTDA
Data: 25/07/2024
</t>
  </si>
  <si>
    <t xml:space="preserve">Valor Unitário 6
Pregão Eletrônico N° 90004/2025 (SRP) (Lei 14.133/2021)
UASG 170058 - SUP.REGIONAL RECEITA FEDERAL 4A.RF/PE
Empresa: SUPREMA EMPREENDIMENTOS LTDA
PB
Data: 21/02/2025
</t>
  </si>
  <si>
    <t xml:space="preserve">Valor Unitário 4:
Pregão Eletrônico N° 90004/2025 (SRP) (Lei 14.133/2021)
UASG 170058 - SUP.REGIONAL RECEITA FEDERAL 4A.RF/PE
Empresa: SUPREMA EMPREENDIMENTOS LTDA
PB
Data: 21/02/2025
</t>
  </si>
  <si>
    <t>Valor Unitário 5:
Pregão Eletrônico N° 90004/2025 (Lei 14.133/2021)
UASG 110161 - SUPER. DE ADMINISTRACAO NO DISTRITO FEDERAL
Empresa: PEDRO REGINALDO DE ALBERNAZ FARIA E FAGUNDES LTDA
Data da Compra: 12/02/2025</t>
  </si>
  <si>
    <t>Valor Unitário 6:
ALOR UNITÁRIO 2
Pesquisa com Fornecedor 
Empresa:  MANACAPURU LIMPEZA E CONSERVAÇÃO LTDA
CNPJ: 17.303.236/0001-08 
Data: 26/02/2025;</t>
  </si>
  <si>
    <t xml:space="preserve">Valor Unitário 6:
Pregão Eletrônico N° 90004/2025 (SRP) (Lei 14.133/2021)
UASG 170058 - SUP.REGIONAL RECEITA FEDERAL 4A.RF/PE
Empresa: SUPREMA EMPREENDIMENTOS LTDA
PB
Data: 21/02/2025
</t>
  </si>
  <si>
    <t>QTDE (6 MESES)</t>
  </si>
  <si>
    <t>PA000396/2025</t>
  </si>
  <si>
    <t>Transporte  = (4,60 x 2 x 22 - 6% x (salario)</t>
  </si>
  <si>
    <t>Auxílio-Refeição/Alimentação =26,70*22-(0,1*26,70*22)</t>
  </si>
  <si>
    <t>ok</t>
  </si>
  <si>
    <t>Transporte  = (4,60x 2) x 22 - 6%(salario)</t>
  </si>
  <si>
    <t>Transporte  = (4,60 x 2 x 22) - 6%(salario)</t>
  </si>
  <si>
    <t>Transporte  = (4,6 x 2 x 22) - 6%(salario)</t>
  </si>
  <si>
    <t>Transporte  = (4,6x 2) x 22 - 6%(salario)</t>
  </si>
  <si>
    <t>ALMOXARIFE</t>
  </si>
  <si>
    <t>Carregador</t>
  </si>
  <si>
    <t>7832-10</t>
  </si>
  <si>
    <t>QUANTIDADE</t>
  </si>
  <si>
    <t>DIÁRIA</t>
  </si>
  <si>
    <t>4151-05</t>
  </si>
  <si>
    <t>Carregador de Móveis(por demanda)</t>
  </si>
  <si>
    <t>Montador de Móveis(por demanda)</t>
  </si>
  <si>
    <t>Quantidade Anual</t>
  </si>
  <si>
    <t>Calça do tipo jeans, cor azul escuro ou preta, contendo elastano</t>
  </si>
  <si>
    <t>Camisa estilo polo, contendo 1 adesivo da contratada</t>
  </si>
  <si>
    <t>Pares de meias, material algodão</t>
  </si>
  <si>
    <r>
      <t>CARGO:</t>
    </r>
    <r>
      <rPr>
        <sz val="12"/>
        <color theme="1"/>
        <rFont val="Arial"/>
        <family val="2"/>
      </rPr>
      <t xml:space="preserve">  Carregador e Montador de Móveis</t>
    </r>
  </si>
  <si>
    <t>VALOR UNITÁRIO 1</t>
  </si>
  <si>
    <t>VALOR UNITÁRIO 1
Pregão Eletrônico N° 90006/2025 (SRP) (Lei 14.133/2021)
UASG 410003 - COORDENACAO GERAL DE RECURSOS LOGISTICOS
Empresa : ASG ADMINISTRACAO DE SERVICOS GERAIS LTDA
RN
Data: 16/07/2025</t>
  </si>
  <si>
    <t>VALOR UNITÁRIO 2</t>
  </si>
  <si>
    <t>VALOR UNITÁRIO 3</t>
  </si>
  <si>
    <t>Sapato na cor preta</t>
  </si>
  <si>
    <t>VALOR UNITÁRIO 2
Pregão Eletrônico N° 90015/2025 (Lei 14.133/2021)
UASG 255000 - MS-FUNDACAO NACIONAL DE SAUDE/DF
Empresa: PLANALTO GESTAO DE SERVICOS LTDA
DF
Data: 14/17/2025</t>
  </si>
  <si>
    <t xml:space="preserve">VALOR UNITÁRIO 3
UASG 170058 - SUP.REGIONAL RECEITA FEDERAL 4A.RF/PE
Critério julgamento: Menor Preço / Maior Descon
Empresa: VERTICAL TERCEIRIZACAO DE SERVICOS LTDA
PE
Data: </t>
  </si>
  <si>
    <t>VALOR UNITÁRIO 4
Pesquisa com Fornecedor 
Empresa:  Tempory Serviços Ltda CNPJ: 23.274.187/0001-17
Data: 20/02/2025;</t>
  </si>
  <si>
    <t>VALOR UNITÁRIO 5
Pesquisa com Fornecedor 
Empresa:  MANACAPURU LIMPEZA E CONSERVAÇÃO LTDA
CNPJ: 17.303.236/0001-08 
Data: 26/02/2025;</t>
  </si>
  <si>
    <t>VALOR UNITÁRIO 4</t>
  </si>
  <si>
    <t>Dispensa Eletrônica N° 90003/2025 (Lei 14.133/2021)
UASG 533013 - SUPERINTEND. DO DESENVOLVIMENTO DA AMAZONIA
Empresa: Grupo Albuquerque Serviços e Comércio de Alimentos Ltda
Data: 24/04/2025</t>
  </si>
  <si>
    <t>Dispensa Eletrônica N° 90009/2024 (Lei 14.133/2021)
UASG 533013 - SUPERINTEND. DO DESENVOLVIMENTO DA AMAZONIA
Empresa: Cordel Automação &amp; Serviços Ltda
Data: 17/07/2024
O valor foi corrigido para ipca acumulado de agosto/2024 a junho/2025 (4,95%)</t>
  </si>
  <si>
    <t>Dispensa Eletrônica N° 90017/2025 (Lei 14.133/2021)
UASG 158099 - INST.FED.DE EDUC.,CIENC.E TEC.DO TRIA.MINEIRO
Empresa: JC SOLUCOES CORPORATIVAS E CONCESSAO DE MAO DE OBRA LTDA
RJ;
Data: 22/07/2025</t>
  </si>
  <si>
    <t>Empresa: CS Empreendimentos
 cnpj: 32544290/0001-20;
Data 28/07/2025</t>
  </si>
  <si>
    <t>Valor Unitário Estimado</t>
  </si>
  <si>
    <t>Valor Total Estimado</t>
  </si>
  <si>
    <t>Qtd (Mín)</t>
  </si>
  <si>
    <t>Qtd (Máx)</t>
  </si>
  <si>
    <t>Total Grupo 1</t>
  </si>
  <si>
    <t>Grupo 1 – Apoio Administrativo e Atividades Auxiliares</t>
  </si>
  <si>
    <t>VALOR UNITÁRIO</t>
  </si>
  <si>
    <t>QTD (Mín)</t>
  </si>
  <si>
    <t>QTD (Máx)</t>
  </si>
  <si>
    <r>
      <t>Custo com Hora Extra de funcionários.</t>
    </r>
    <r>
      <rPr>
        <sz val="11"/>
        <color theme="1"/>
        <rFont val="Calibri"/>
        <family val="2"/>
        <scheme val="minor"/>
      </rPr>
      <t xml:space="preserve"> Valor deste item não sofrerá oferta de lance, devendo permanecer inalterado, mantido o valor estimado no cadastro e na proposta da licitante.</t>
    </r>
  </si>
  <si>
    <t>Grupo 2 – Motoristas e Deslocamentos</t>
  </si>
  <si>
    <t>Total Grupo 2</t>
  </si>
  <si>
    <t>Grupo 3 – Jardinagem e Materiais</t>
  </si>
  <si>
    <t>Carregador de Móveis (por demanda)</t>
  </si>
  <si>
    <t>Montador de Móveis (por demanda)</t>
  </si>
  <si>
    <t>Total Grupo 3</t>
  </si>
  <si>
    <t>VALOR UNITÁRIO 5</t>
  </si>
  <si>
    <t>Outros (Custo de manutenção de depósito de conta Vinculada = R$ 155/103(funcionários do Grupo 1)</t>
  </si>
  <si>
    <t>Outros (Custo de manutenção de depósito de conta Vinculada = R$ 155/10(funcionários do Grupo 2)</t>
  </si>
  <si>
    <t>PA000133/2025</t>
  </si>
  <si>
    <t>VALOR
UNITÁRIO MENSAL DO POSTO</t>
  </si>
  <si>
    <t>VALOR 
UNITÁRIO ANUAL DO POSTO</t>
  </si>
  <si>
    <t>VALOR TOTAL ANUAL</t>
  </si>
  <si>
    <t>VALOR
UNITÁRIO ANUAL  DO POSTO</t>
  </si>
  <si>
    <t xml:space="preserve">Custo para contratação de Aprendiz (Clausula XXIV da CCT). </t>
  </si>
  <si>
    <t>Técnico em Artes Gráficas - Faixa A</t>
  </si>
  <si>
    <t>PA000633/2017</t>
  </si>
  <si>
    <t>Salário Mínimo 2026</t>
  </si>
  <si>
    <t>Auxílio-Refeição/Alimentação</t>
  </si>
  <si>
    <t xml:space="preserve">CARGO: Mensageiro, Encarregado de Serviços Gerais,  Motorista e Técnico em Artes Gráficas </t>
  </si>
  <si>
    <t>Outros (Custo de manutenção de depósito de conta Vinculada = R$ 155/4(funcionários do Grupo 1)</t>
  </si>
  <si>
    <t>3713-10</t>
  </si>
  <si>
    <t>Grupo 4 – Técnico em Artes Gráficas - Faixa A</t>
  </si>
  <si>
    <t>Grupo 5 –  Serviço de Carregador e Montador de Móveis por demanda</t>
  </si>
  <si>
    <t>Total Grupo 4</t>
  </si>
  <si>
    <t>Total Grupo 5</t>
  </si>
  <si>
    <t>VALOR TOTAL DA CONTRATAÇÃO G1+G2+G3+G4+G5</t>
  </si>
  <si>
    <t>Quadro Resumo
Custos da Ata de Registro de Preços para Contratação de Mão de Obra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</si>
</sst>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7" formatCode="&quot;R$&quot;\ #,##0.00;\-&quot;R$&quot;\ #,##0.00"/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&quot;R$&quot;\ #,##0.00"/>
    <numFmt numFmtId="166" formatCode="&quot; R$ &quot;#,##0.00\ ;&quot; R$ (&quot;#,##0.00\);&quot; R$ -&quot;#\ ;@\ "/>
    <numFmt numFmtId="167" formatCode="_-&quot;R$ &quot;* #,##0.00_-;&quot;-R$ &quot;* #,##0.00_-;_-&quot;R$ &quot;* \-??_-;_-@_-"/>
    <numFmt numFmtId="168" formatCode="_-&quot;R$&quot;* #,##0.00_-;\-&quot;R$&quot;* #,##0.00_-;_-&quot;R$&quot;* &quot;-&quot;??_-;_-@_-"/>
    <numFmt numFmtId="169" formatCode="0.0%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name val="Arial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64"/>
      <name val="Calibri"/>
      <family val="2"/>
      <scheme val="minor"/>
    </font>
    <font>
      <sz val="12"/>
      <color rgb="FFFF0000"/>
      <name val="Times New Roman"/>
      <family val="1"/>
    </font>
    <font>
      <sz val="18"/>
      <color theme="0"/>
      <name val="Times New Roman"/>
      <family val="1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</font>
    <font>
      <sz val="10"/>
      <color rgb="FF555555"/>
      <name val="Helvetica"/>
      <family val="2"/>
    </font>
    <font>
      <b/>
      <sz val="10"/>
      <name val="Arial"/>
      <family val="2"/>
    </font>
    <font>
      <b/>
      <sz val="8"/>
      <name val="Book Antiqua"/>
      <family val="1"/>
    </font>
    <font>
      <sz val="8"/>
      <name val="Book Antiqua"/>
      <family val="1"/>
    </font>
    <font>
      <sz val="10"/>
      <name val="Arial"/>
    </font>
    <font>
      <sz val="9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rgb="FF002060"/>
      <name val="Arial"/>
      <family val="2"/>
    </font>
    <font>
      <b/>
      <sz val="12"/>
      <color rgb="FFFF0000"/>
      <name val="Book Antiqua"/>
      <family val="1"/>
    </font>
    <font>
      <sz val="12"/>
      <name val="Book Antiqua"/>
      <family val="1"/>
    </font>
    <font>
      <b/>
      <sz val="12"/>
      <name val="Book Antiqua"/>
      <family val="1"/>
    </font>
    <font>
      <b/>
      <sz val="12"/>
      <color theme="1"/>
      <name val="Calibri"/>
      <family val="2"/>
      <scheme val="minor"/>
    </font>
    <font>
      <sz val="8"/>
      <color rgb="FF0070C0"/>
      <name val="Book Antiqua"/>
      <family val="1"/>
    </font>
    <font>
      <sz val="11"/>
      <color theme="1"/>
      <name val="Times New Roman"/>
      <family val="1"/>
    </font>
    <font>
      <sz val="9"/>
      <name val="Book Antiqua"/>
      <family val="1"/>
    </font>
    <font>
      <sz val="12"/>
      <name val="Times New Roman"/>
      <family val="1"/>
    </font>
  </fonts>
  <fills count="42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62">
    <xf numFmtId="0" fontId="0" fillId="0" borderId="0"/>
    <xf numFmtId="164" fontId="4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8" applyNumberFormat="0" applyAlignment="0" applyProtection="0"/>
    <xf numFmtId="0" fontId="13" fillId="7" borderId="9" applyNumberFormat="0" applyAlignment="0" applyProtection="0"/>
    <xf numFmtId="0" fontId="14" fillId="7" borderId="8" applyNumberFormat="0" applyAlignment="0" applyProtection="0"/>
    <xf numFmtId="0" fontId="15" fillId="0" borderId="10" applyNumberFormat="0" applyFill="0" applyAlignment="0" applyProtection="0"/>
    <xf numFmtId="0" fontId="16" fillId="8" borderId="11" applyNumberFormat="0" applyAlignment="0" applyProtection="0"/>
    <xf numFmtId="0" fontId="17" fillId="0" borderId="0" applyNumberFormat="0" applyFill="0" applyBorder="0" applyAlignment="0" applyProtection="0"/>
    <xf numFmtId="0" fontId="1" fillId="9" borderId="12" applyNumberFormat="0" applyFont="0" applyAlignment="0" applyProtection="0"/>
    <xf numFmtId="0" fontId="18" fillId="0" borderId="0" applyNumberFormat="0" applyFill="0" applyBorder="0" applyAlignment="0" applyProtection="0"/>
    <xf numFmtId="0" fontId="19" fillId="0" borderId="13" applyNumberFormat="0" applyFill="0" applyAlignment="0" applyProtection="0"/>
    <xf numFmtId="0" fontId="20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0" fillId="33" borderId="0" applyNumberFormat="0" applyBorder="0" applyAlignment="0" applyProtection="0"/>
    <xf numFmtId="43" fontId="1" fillId="0" borderId="0" applyFont="0" applyFill="0" applyBorder="0" applyAlignment="0" applyProtection="0"/>
    <xf numFmtId="0" fontId="2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4" fillId="0" borderId="0"/>
    <xf numFmtId="166" fontId="24" fillId="0" borderId="0" applyFill="0" applyBorder="0" applyAlignment="0" applyProtection="0"/>
    <xf numFmtId="167" fontId="24" fillId="0" borderId="0" applyFill="0" applyBorder="0" applyAlignment="0" applyProtection="0"/>
    <xf numFmtId="0" fontId="4" fillId="0" borderId="0"/>
    <xf numFmtId="164" fontId="24" fillId="0" borderId="0" applyFill="0" applyBorder="0" applyAlignment="0" applyProtection="0"/>
    <xf numFmtId="9" fontId="24" fillId="0" borderId="0" applyFill="0" applyBorder="0" applyAlignment="0" applyProtection="0"/>
    <xf numFmtId="9" fontId="24" fillId="0" borderId="0" applyFont="0" applyFill="0" applyBorder="0" applyAlignment="0" applyProtection="0"/>
    <xf numFmtId="168" fontId="33" fillId="0" borderId="0" applyFill="0" applyBorder="0" applyAlignment="0" applyProtection="0"/>
    <xf numFmtId="43" fontId="1" fillId="0" borderId="0" applyFont="0" applyFill="0" applyBorder="0" applyAlignment="0" applyProtection="0"/>
  </cellStyleXfs>
  <cellXfs count="300">
    <xf numFmtId="0" fontId="0" fillId="0" borderId="0" xfId="0"/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10" fontId="3" fillId="0" borderId="1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/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4" fontId="3" fillId="0" borderId="14" xfId="51" applyFont="1" applyBorder="1" applyAlignment="1">
      <alignment horizontal="center" vertical="center" wrapText="1"/>
    </xf>
    <xf numFmtId="44" fontId="3" fillId="0" borderId="14" xfId="51" applyFont="1" applyBorder="1" applyAlignment="1">
      <alignment vertical="center" wrapText="1"/>
    </xf>
    <xf numFmtId="9" fontId="3" fillId="34" borderId="14" xfId="52" applyFont="1" applyFill="1" applyBorder="1" applyAlignment="1">
      <alignment horizontal="center" vertical="center" wrapText="1"/>
    </xf>
    <xf numFmtId="10" fontId="3" fillId="0" borderId="14" xfId="52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3" fillId="0" borderId="15" xfId="0" applyFont="1" applyBorder="1"/>
    <xf numFmtId="0" fontId="3" fillId="0" borderId="20" xfId="0" applyFont="1" applyBorder="1" applyAlignment="1">
      <alignment vertical="center" wrapText="1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 vertical="center" wrapText="1"/>
    </xf>
    <xf numFmtId="44" fontId="3" fillId="0" borderId="15" xfId="51" applyFont="1" applyBorder="1" applyAlignment="1">
      <alignment horizontal="center" vertical="center" wrapText="1"/>
    </xf>
    <xf numFmtId="10" fontId="3" fillId="0" borderId="15" xfId="0" applyNumberFormat="1" applyFont="1" applyBorder="1"/>
    <xf numFmtId="10" fontId="3" fillId="0" borderId="15" xfId="52" applyNumberFormat="1" applyFont="1" applyBorder="1"/>
    <xf numFmtId="0" fontId="2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vertical="center" wrapText="1"/>
    </xf>
    <xf numFmtId="0" fontId="3" fillId="0" borderId="15" xfId="0" applyFont="1" applyBorder="1" applyAlignment="1">
      <alignment horizontal="justify" vertical="center" wrapText="1"/>
    </xf>
    <xf numFmtId="44" fontId="2" fillId="0" borderId="15" xfId="51" applyFont="1" applyBorder="1" applyAlignment="1">
      <alignment horizontal="center" vertical="center" wrapText="1"/>
    </xf>
    <xf numFmtId="0" fontId="2" fillId="0" borderId="15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10" fontId="3" fillId="0" borderId="15" xfId="52" applyNumberFormat="1" applyFont="1" applyBorder="1" applyAlignment="1">
      <alignment horizontal="center"/>
    </xf>
    <xf numFmtId="10" fontId="2" fillId="0" borderId="15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4" fillId="0" borderId="0" xfId="53"/>
    <xf numFmtId="167" fontId="24" fillId="0" borderId="15" xfId="55" applyBorder="1"/>
    <xf numFmtId="0" fontId="25" fillId="0" borderId="15" xfId="53" applyFont="1" applyBorder="1" applyAlignment="1">
      <alignment horizontal="center" vertical="center" wrapText="1"/>
    </xf>
    <xf numFmtId="0" fontId="24" fillId="0" borderId="0" xfId="53" applyFill="1"/>
    <xf numFmtId="0" fontId="24" fillId="0" borderId="0" xfId="53" applyAlignment="1">
      <alignment horizontal="center"/>
    </xf>
    <xf numFmtId="10" fontId="26" fillId="0" borderId="15" xfId="56" applyNumberFormat="1" applyFont="1" applyFill="1" applyBorder="1" applyAlignment="1">
      <alignment horizontal="center" vertical="center"/>
    </xf>
    <xf numFmtId="0" fontId="27" fillId="0" borderId="16" xfId="56" applyFont="1" applyFill="1" applyBorder="1" applyAlignment="1">
      <alignment horizontal="center" vertical="center"/>
    </xf>
    <xf numFmtId="164" fontId="26" fillId="0" borderId="15" xfId="57" applyFont="1" applyFill="1" applyBorder="1" applyAlignment="1" applyProtection="1">
      <alignment horizontal="center" vertical="center"/>
    </xf>
    <xf numFmtId="0" fontId="28" fillId="0" borderId="15" xfId="53" applyFont="1" applyFill="1" applyBorder="1" applyAlignment="1">
      <alignment horizontal="center" vertical="center" wrapText="1"/>
    </xf>
    <xf numFmtId="0" fontId="26" fillId="0" borderId="15" xfId="56" applyFont="1" applyFill="1" applyBorder="1" applyAlignment="1">
      <alignment horizontal="center" vertical="center" wrapText="1"/>
    </xf>
    <xf numFmtId="0" fontId="26" fillId="0" borderId="24" xfId="56" applyFont="1" applyFill="1" applyBorder="1" applyAlignment="1">
      <alignment horizontal="center" vertical="center"/>
    </xf>
    <xf numFmtId="7" fontId="3" fillId="0" borderId="15" xfId="51" applyNumberFormat="1" applyFont="1" applyBorder="1" applyAlignment="1">
      <alignment horizontal="center" vertical="center" wrapText="1"/>
    </xf>
    <xf numFmtId="44" fontId="27" fillId="0" borderId="15" xfId="5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9" fontId="3" fillId="0" borderId="0" xfId="0" applyNumberFormat="1" applyFont="1"/>
    <xf numFmtId="0" fontId="3" fillId="0" borderId="0" xfId="0" applyFont="1" applyAlignment="1">
      <alignment horizontal="center" vertical="center"/>
    </xf>
    <xf numFmtId="44" fontId="3" fillId="0" borderId="15" xfId="0" applyNumberFormat="1" applyFont="1" applyBorder="1"/>
    <xf numFmtId="44" fontId="3" fillId="0" borderId="0" xfId="0" applyNumberFormat="1" applyFont="1"/>
    <xf numFmtId="0" fontId="2" fillId="0" borderId="15" xfId="0" applyFont="1" applyBorder="1"/>
    <xf numFmtId="10" fontId="2" fillId="0" borderId="14" xfId="52" applyNumberFormat="1" applyFont="1" applyBorder="1" applyAlignment="1">
      <alignment horizontal="center" vertical="center" wrapText="1"/>
    </xf>
    <xf numFmtId="44" fontId="2" fillId="0" borderId="14" xfId="51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 wrapText="1"/>
    </xf>
    <xf numFmtId="0" fontId="29" fillId="0" borderId="0" xfId="0" applyFont="1" applyBorder="1"/>
    <xf numFmtId="0" fontId="3" fillId="0" borderId="0" xfId="0" applyFont="1" applyBorder="1"/>
    <xf numFmtId="0" fontId="3" fillId="0" borderId="16" xfId="0" applyFont="1" applyBorder="1" applyAlignment="1">
      <alignment horizontal="left" vertical="center" wrapText="1"/>
    </xf>
    <xf numFmtId="0" fontId="22" fillId="0" borderId="0" xfId="0" applyFont="1" applyAlignment="1">
      <alignment horizontal="center"/>
    </xf>
    <xf numFmtId="0" fontId="22" fillId="0" borderId="15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2" fillId="0" borderId="19" xfId="0" applyFont="1" applyBorder="1" applyAlignment="1">
      <alignment horizontal="center" vertical="center" wrapText="1"/>
    </xf>
    <xf numFmtId="0" fontId="4" fillId="0" borderId="0" xfId="56"/>
    <xf numFmtId="0" fontId="31" fillId="39" borderId="15" xfId="56" applyFont="1" applyFill="1" applyBorder="1" applyAlignment="1">
      <alignment horizontal="center" vertical="center" wrapText="1"/>
    </xf>
    <xf numFmtId="0" fontId="4" fillId="0" borderId="15" xfId="56" applyBorder="1" applyAlignment="1">
      <alignment horizontal="center" vertical="center"/>
    </xf>
    <xf numFmtId="4" fontId="32" fillId="0" borderId="15" xfId="56" applyNumberFormat="1" applyFont="1" applyBorder="1" applyAlignment="1">
      <alignment horizontal="left" vertical="center" wrapText="1"/>
    </xf>
    <xf numFmtId="0" fontId="32" fillId="0" borderId="15" xfId="56" applyFont="1" applyBorder="1" applyAlignment="1">
      <alignment horizontal="center" vertical="center" wrapText="1"/>
    </xf>
    <xf numFmtId="0" fontId="34" fillId="0" borderId="15" xfId="0" applyFont="1" applyBorder="1" applyAlignment="1">
      <alignment horizontal="center" vertical="center" wrapText="1"/>
    </xf>
    <xf numFmtId="8" fontId="3" fillId="0" borderId="15" xfId="51" applyNumberFormat="1" applyFont="1" applyBorder="1" applyAlignment="1">
      <alignment horizontal="center" vertical="center" wrapText="1"/>
    </xf>
    <xf numFmtId="8" fontId="3" fillId="0" borderId="14" xfId="51" applyNumberFormat="1" applyFont="1" applyBorder="1" applyAlignment="1">
      <alignment horizontal="center" vertical="center" wrapText="1"/>
    </xf>
    <xf numFmtId="0" fontId="26" fillId="39" borderId="16" xfId="56" applyFont="1" applyFill="1" applyBorder="1" applyAlignment="1">
      <alignment horizontal="center" vertical="center"/>
    </xf>
    <xf numFmtId="44" fontId="27" fillId="39" borderId="15" xfId="51" applyFont="1" applyFill="1" applyBorder="1" applyAlignment="1">
      <alignment horizontal="center" vertical="center"/>
    </xf>
    <xf numFmtId="164" fontId="26" fillId="39" borderId="15" xfId="57" applyFont="1" applyFill="1" applyBorder="1" applyAlignment="1" applyProtection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10" fontId="27" fillId="0" borderId="15" xfId="51" applyNumberFormat="1" applyFont="1" applyFill="1" applyBorder="1" applyAlignment="1">
      <alignment horizontal="center" vertical="center"/>
    </xf>
    <xf numFmtId="10" fontId="27" fillId="0" borderId="15" xfId="52" applyNumberFormat="1" applyFont="1" applyFill="1" applyBorder="1" applyAlignment="1" applyProtection="1">
      <alignment horizontal="center" vertical="center"/>
    </xf>
    <xf numFmtId="10" fontId="26" fillId="0" borderId="15" xfId="52" applyNumberFormat="1" applyFont="1" applyFill="1" applyBorder="1" applyAlignment="1" applyProtection="1">
      <alignment horizontal="center" vertical="center"/>
    </xf>
    <xf numFmtId="9" fontId="27" fillId="0" borderId="15" xfId="52" applyFont="1" applyFill="1" applyBorder="1" applyAlignment="1" applyProtection="1">
      <alignment horizontal="center" vertical="center"/>
    </xf>
    <xf numFmtId="169" fontId="27" fillId="0" borderId="15" xfId="52" applyNumberFormat="1" applyFont="1" applyFill="1" applyBorder="1" applyAlignment="1" applyProtection="1">
      <alignment horizontal="center" vertical="center"/>
    </xf>
    <xf numFmtId="10" fontId="24" fillId="0" borderId="15" xfId="52" applyNumberFormat="1" applyFont="1" applyBorder="1" applyAlignment="1">
      <alignment horizontal="center"/>
    </xf>
    <xf numFmtId="10" fontId="24" fillId="0" borderId="15" xfId="53" applyNumberFormat="1" applyBorder="1" applyAlignment="1">
      <alignment horizontal="center"/>
    </xf>
    <xf numFmtId="0" fontId="25" fillId="0" borderId="15" xfId="53" applyFont="1" applyBorder="1" applyAlignment="1">
      <alignment vertical="center" wrapText="1"/>
    </xf>
    <xf numFmtId="10" fontId="3" fillId="0" borderId="15" xfId="51" applyNumberFormat="1" applyFont="1" applyBorder="1" applyAlignment="1">
      <alignment horizontal="center" vertical="center" wrapText="1"/>
    </xf>
    <xf numFmtId="165" fontId="0" fillId="0" borderId="15" xfId="0" applyNumberFormat="1" applyBorder="1"/>
    <xf numFmtId="165" fontId="19" fillId="0" borderId="15" xfId="0" applyNumberFormat="1" applyFont="1" applyBorder="1"/>
    <xf numFmtId="0" fontId="37" fillId="0" borderId="15" xfId="0" applyFont="1" applyBorder="1" applyAlignment="1">
      <alignment horizontal="center" vertical="center" wrapText="1"/>
    </xf>
    <xf numFmtId="0" fontId="37" fillId="0" borderId="15" xfId="0" applyFont="1" applyBorder="1" applyAlignment="1">
      <alignment vertical="center" wrapText="1"/>
    </xf>
    <xf numFmtId="0" fontId="38" fillId="37" borderId="15" xfId="0" applyFont="1" applyFill="1" applyBorder="1" applyAlignment="1">
      <alignment horizontal="center" vertical="center"/>
    </xf>
    <xf numFmtId="0" fontId="35" fillId="0" borderId="0" xfId="0" applyFont="1"/>
    <xf numFmtId="0" fontId="37" fillId="0" borderId="0" xfId="0" applyFont="1"/>
    <xf numFmtId="0" fontId="2" fillId="0" borderId="15" xfId="0" applyFont="1" applyBorder="1" applyAlignment="1">
      <alignment horizontal="center" vertical="center" wrapText="1"/>
    </xf>
    <xf numFmtId="0" fontId="41" fillId="0" borderId="15" xfId="0" applyFont="1" applyBorder="1" applyAlignment="1">
      <alignment horizontal="center" vertical="center"/>
    </xf>
    <xf numFmtId="168" fontId="41" fillId="0" borderId="15" xfId="0" applyNumberFormat="1" applyFont="1" applyBorder="1" applyAlignment="1">
      <alignment horizontal="center" vertical="center"/>
    </xf>
    <xf numFmtId="0" fontId="41" fillId="0" borderId="15" xfId="0" applyFont="1" applyBorder="1" applyAlignment="1">
      <alignment vertical="center" wrapText="1"/>
    </xf>
    <xf numFmtId="0" fontId="35" fillId="0" borderId="15" xfId="0" applyFont="1" applyBorder="1"/>
    <xf numFmtId="0" fontId="41" fillId="0" borderId="16" xfId="0" applyFont="1" applyBorder="1" applyAlignment="1">
      <alignment horizontal="center" vertical="center"/>
    </xf>
    <xf numFmtId="0" fontId="41" fillId="0" borderId="17" xfId="0" applyFont="1" applyBorder="1" applyAlignment="1">
      <alignment vertical="center" wrapText="1"/>
    </xf>
    <xf numFmtId="44" fontId="41" fillId="0" borderId="15" xfId="51" applyFont="1" applyBorder="1" applyAlignment="1">
      <alignment horizontal="center" vertical="center"/>
    </xf>
    <xf numFmtId="44" fontId="35" fillId="0" borderId="15" xfId="0" applyNumberFormat="1" applyFont="1" applyBorder="1"/>
    <xf numFmtId="0" fontId="41" fillId="0" borderId="15" xfId="0" applyFont="1" applyBorder="1"/>
    <xf numFmtId="0" fontId="41" fillId="0" borderId="16" xfId="0" applyFont="1" applyBorder="1" applyAlignment="1">
      <alignment vertical="center" wrapText="1"/>
    </xf>
    <xf numFmtId="44" fontId="37" fillId="37" borderId="15" xfId="51" applyFont="1" applyFill="1" applyBorder="1" applyAlignment="1" applyProtection="1">
      <alignment vertical="center"/>
      <protection locked="0"/>
    </xf>
    <xf numFmtId="44" fontId="38" fillId="37" borderId="15" xfId="51" applyFont="1" applyFill="1" applyBorder="1" applyAlignment="1">
      <alignment horizontal="right" vertical="center"/>
    </xf>
    <xf numFmtId="44" fontId="35" fillId="0" borderId="15" xfId="51" applyFont="1" applyBorder="1"/>
    <xf numFmtId="10" fontId="41" fillId="0" borderId="15" xfId="52" applyNumberFormat="1" applyFont="1" applyBorder="1" applyAlignment="1">
      <alignment horizontal="center" vertical="center"/>
    </xf>
    <xf numFmtId="0" fontId="35" fillId="0" borderId="0" xfId="0" applyFont="1" applyFill="1"/>
    <xf numFmtId="0" fontId="42" fillId="41" borderId="15" xfId="0" applyFont="1" applyFill="1" applyBorder="1" applyAlignment="1">
      <alignment horizontal="center" vertical="center" wrapText="1"/>
    </xf>
    <xf numFmtId="0" fontId="36" fillId="41" borderId="15" xfId="0" applyFont="1" applyFill="1" applyBorder="1" applyAlignment="1">
      <alignment horizontal="center" vertical="center" wrapText="1"/>
    </xf>
    <xf numFmtId="44" fontId="42" fillId="41" borderId="15" xfId="51" applyFont="1" applyFill="1" applyBorder="1" applyAlignment="1">
      <alignment horizontal="center" vertical="center"/>
    </xf>
    <xf numFmtId="0" fontId="42" fillId="0" borderId="15" xfId="0" applyFont="1" applyBorder="1" applyAlignment="1"/>
    <xf numFmtId="0" fontId="43" fillId="0" borderId="15" xfId="0" applyFont="1" applyBorder="1"/>
    <xf numFmtId="44" fontId="42" fillId="41" borderId="16" xfId="51" applyFont="1" applyFill="1" applyBorder="1" applyAlignment="1">
      <alignment horizontal="center" vertical="center"/>
    </xf>
    <xf numFmtId="44" fontId="35" fillId="0" borderId="18" xfId="51" applyFont="1" applyBorder="1"/>
    <xf numFmtId="44" fontId="3" fillId="0" borderId="15" xfId="51" applyNumberFormat="1" applyFont="1" applyBorder="1" applyAlignment="1">
      <alignment horizontal="center" vertical="center" wrapText="1"/>
    </xf>
    <xf numFmtId="44" fontId="42" fillId="41" borderId="16" xfId="51" applyFont="1" applyFill="1" applyBorder="1" applyAlignment="1">
      <alignment vertical="center"/>
    </xf>
    <xf numFmtId="44" fontId="42" fillId="41" borderId="17" xfId="51" applyFont="1" applyFill="1" applyBorder="1" applyAlignment="1">
      <alignment vertical="center"/>
    </xf>
    <xf numFmtId="44" fontId="42" fillId="41" borderId="15" xfId="51" applyFont="1" applyFill="1" applyBorder="1" applyAlignment="1">
      <alignment vertical="center"/>
    </xf>
    <xf numFmtId="4" fontId="32" fillId="0" borderId="15" xfId="56" applyNumberFormat="1" applyFont="1" applyBorder="1" applyAlignment="1">
      <alignment horizontal="center" vertical="center" wrapText="1"/>
    </xf>
    <xf numFmtId="44" fontId="32" fillId="0" borderId="15" xfId="51" applyFont="1" applyBorder="1" applyAlignment="1">
      <alignment horizontal="center" vertical="center" wrapText="1"/>
    </xf>
    <xf numFmtId="44" fontId="32" fillId="0" borderId="15" xfId="51" applyFont="1" applyBorder="1" applyAlignment="1">
      <alignment horizontal="left" vertical="center" wrapText="1"/>
    </xf>
    <xf numFmtId="0" fontId="34" fillId="0" borderId="15" xfId="61" applyNumberFormat="1" applyFont="1" applyBorder="1" applyAlignment="1">
      <alignment horizontal="center" vertical="center" wrapText="1"/>
    </xf>
    <xf numFmtId="0" fontId="32" fillId="0" borderId="15" xfId="61" applyNumberFormat="1" applyFont="1" applyBorder="1" applyAlignment="1">
      <alignment horizontal="center" vertical="center" wrapText="1"/>
    </xf>
    <xf numFmtId="3" fontId="32" fillId="0" borderId="15" xfId="56" applyNumberFormat="1" applyFont="1" applyBorder="1" applyAlignment="1">
      <alignment horizontal="center" vertical="center" wrapText="1"/>
    </xf>
    <xf numFmtId="44" fontId="31" fillId="0" borderId="15" xfId="51" applyFont="1" applyBorder="1" applyAlignment="1">
      <alignment horizontal="left" vertical="center" wrapText="1"/>
    </xf>
    <xf numFmtId="0" fontId="34" fillId="0" borderId="15" xfId="0" applyNumberFormat="1" applyFont="1" applyBorder="1" applyAlignment="1">
      <alignment horizontal="center" vertical="center" wrapText="1"/>
    </xf>
    <xf numFmtId="0" fontId="32" fillId="0" borderId="15" xfId="56" applyNumberFormat="1" applyFont="1" applyBorder="1" applyAlignment="1">
      <alignment horizontal="center" vertical="center" wrapText="1"/>
    </xf>
    <xf numFmtId="165" fontId="0" fillId="0" borderId="15" xfId="0" applyNumberFormat="1" applyBorder="1" applyAlignment="1">
      <alignment horizontal="center" vertical="center"/>
    </xf>
    <xf numFmtId="9" fontId="0" fillId="0" borderId="15" xfId="52" applyFont="1" applyBorder="1" applyAlignment="1">
      <alignment horizontal="center"/>
    </xf>
    <xf numFmtId="44" fontId="0" fillId="0" borderId="15" xfId="51" applyFont="1" applyBorder="1" applyAlignment="1">
      <alignment horizontal="center"/>
    </xf>
    <xf numFmtId="165" fontId="19" fillId="0" borderId="0" xfId="0" applyNumberFormat="1" applyFont="1"/>
    <xf numFmtId="165" fontId="45" fillId="37" borderId="15" xfId="0" applyNumberFormat="1" applyFont="1" applyFill="1" applyBorder="1" applyAlignment="1">
      <alignment horizontal="center" vertical="center"/>
    </xf>
    <xf numFmtId="9" fontId="35" fillId="0" borderId="15" xfId="52" applyFont="1" applyBorder="1" applyAlignment="1">
      <alignment horizontal="center"/>
    </xf>
    <xf numFmtId="0" fontId="41" fillId="0" borderId="15" xfId="0" applyFont="1" applyBorder="1" applyAlignment="1">
      <alignment horizontal="center" vertical="center" wrapText="1"/>
    </xf>
    <xf numFmtId="0" fontId="41" fillId="0" borderId="16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30" fillId="0" borderId="23" xfId="56" applyFont="1" applyBorder="1" applyAlignment="1">
      <alignment horizontal="center" vertical="center" wrapText="1"/>
    </xf>
    <xf numFmtId="8" fontId="3" fillId="0" borderId="0" xfId="0" applyNumberFormat="1" applyFont="1"/>
    <xf numFmtId="167" fontId="25" fillId="0" borderId="15" xfId="53" applyNumberFormat="1" applyFont="1" applyBorder="1" applyAlignment="1">
      <alignment vertical="center"/>
    </xf>
    <xf numFmtId="0" fontId="24" fillId="0" borderId="0" xfId="53" applyAlignment="1">
      <alignment vertical="center"/>
    </xf>
    <xf numFmtId="43" fontId="25" fillId="0" borderId="15" xfId="53" applyNumberFormat="1" applyFont="1" applyBorder="1" applyAlignment="1">
      <alignment vertical="center"/>
    </xf>
    <xf numFmtId="167" fontId="24" fillId="0" borderId="15" xfId="55" applyBorder="1" applyAlignment="1">
      <alignment vertical="center"/>
    </xf>
    <xf numFmtId="4" fontId="31" fillId="0" borderId="0" xfId="56" applyNumberFormat="1" applyFont="1" applyBorder="1" applyAlignment="1">
      <alignment horizontal="center" vertical="center" wrapText="1"/>
    </xf>
    <xf numFmtId="44" fontId="31" fillId="0" borderId="0" xfId="51" applyFont="1" applyBorder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4" fontId="31" fillId="0" borderId="23" xfId="56" applyNumberFormat="1" applyFont="1" applyBorder="1" applyAlignment="1">
      <alignment vertical="center" wrapText="1"/>
    </xf>
    <xf numFmtId="0" fontId="35" fillId="0" borderId="15" xfId="0" applyFont="1" applyBorder="1" applyAlignment="1">
      <alignment horizontal="center"/>
    </xf>
    <xf numFmtId="8" fontId="35" fillId="0" borderId="15" xfId="0" applyNumberFormat="1" applyFont="1" applyBorder="1"/>
    <xf numFmtId="44" fontId="35" fillId="0" borderId="0" xfId="0" applyNumberFormat="1" applyFont="1"/>
    <xf numFmtId="9" fontId="35" fillId="0" borderId="15" xfId="52" applyFont="1" applyBorder="1"/>
    <xf numFmtId="0" fontId="41" fillId="0" borderId="0" xfId="0" applyFont="1" applyBorder="1"/>
    <xf numFmtId="0" fontId="35" fillId="0" borderId="0" xfId="0" applyFont="1" applyBorder="1"/>
    <xf numFmtId="0" fontId="0" fillId="0" borderId="0" xfId="0" applyAlignment="1">
      <alignment horizontal="center"/>
    </xf>
    <xf numFmtId="44" fontId="0" fillId="0" borderId="15" xfId="0" applyNumberFormat="1" applyBorder="1"/>
    <xf numFmtId="0" fontId="0" fillId="0" borderId="15" xfId="0" applyBorder="1"/>
    <xf numFmtId="44" fontId="0" fillId="0" borderId="15" xfId="51" applyFont="1" applyBorder="1"/>
    <xf numFmtId="0" fontId="19" fillId="0" borderId="15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wrapText="1"/>
    </xf>
    <xf numFmtId="44" fontId="4" fillId="0" borderId="0" xfId="56" applyNumberFormat="1"/>
    <xf numFmtId="0" fontId="0" fillId="0" borderId="0" xfId="0" applyAlignment="1">
      <alignment vertical="center" wrapText="1"/>
    </xf>
    <xf numFmtId="3" fontId="0" fillId="0" borderId="0" xfId="0" applyNumberFormat="1" applyAlignment="1">
      <alignment vertical="center" wrapText="1"/>
    </xf>
    <xf numFmtId="4" fontId="4" fillId="0" borderId="0" xfId="56" applyNumberFormat="1"/>
    <xf numFmtId="8" fontId="0" fillId="0" borderId="0" xfId="0" applyNumberFormat="1" applyAlignment="1">
      <alignment vertical="center" wrapText="1"/>
    </xf>
    <xf numFmtId="0" fontId="19" fillId="0" borderId="0" xfId="0" applyFont="1" applyAlignment="1">
      <alignment vertical="center" wrapText="1"/>
    </xf>
    <xf numFmtId="44" fontId="0" fillId="0" borderId="0" xfId="0" applyNumberFormat="1" applyAlignment="1">
      <alignment vertical="center" wrapText="1"/>
    </xf>
    <xf numFmtId="4" fontId="31" fillId="0" borderId="15" xfId="56" applyNumberFormat="1" applyFont="1" applyBorder="1" applyAlignment="1">
      <alignment vertical="center" wrapText="1"/>
    </xf>
    <xf numFmtId="44" fontId="31" fillId="0" borderId="23" xfId="51" applyFont="1" applyBorder="1" applyAlignment="1">
      <alignment horizontal="left" vertical="center" wrapText="1"/>
    </xf>
    <xf numFmtId="2" fontId="0" fillId="0" borderId="15" xfId="0" applyNumberFormat="1" applyBorder="1" applyAlignment="1">
      <alignment horizontal="center" vertical="center"/>
    </xf>
    <xf numFmtId="0" fontId="46" fillId="0" borderId="15" xfId="61" applyNumberFormat="1" applyFont="1" applyBorder="1" applyAlignment="1">
      <alignment horizontal="center" vertical="center" wrapText="1"/>
    </xf>
    <xf numFmtId="4" fontId="46" fillId="0" borderId="15" xfId="56" applyNumberFormat="1" applyFont="1" applyBorder="1" applyAlignment="1">
      <alignment horizontal="left" vertical="center" wrapText="1"/>
    </xf>
    <xf numFmtId="0" fontId="46" fillId="0" borderId="15" xfId="56" applyNumberFormat="1" applyFont="1" applyBorder="1" applyAlignment="1">
      <alignment horizontal="center" vertical="center" wrapText="1"/>
    </xf>
    <xf numFmtId="4" fontId="46" fillId="0" borderId="15" xfId="56" applyNumberFormat="1" applyFont="1" applyBorder="1" applyAlignment="1">
      <alignment horizontal="center" vertical="center" wrapText="1"/>
    </xf>
    <xf numFmtId="3" fontId="46" fillId="0" borderId="15" xfId="56" applyNumberFormat="1" applyFont="1" applyBorder="1" applyAlignment="1">
      <alignment horizontal="center" vertical="center" wrapText="1"/>
    </xf>
    <xf numFmtId="44" fontId="46" fillId="0" borderId="15" xfId="51" applyFont="1" applyBorder="1" applyAlignment="1">
      <alignment horizontal="left" vertical="center" wrapText="1"/>
    </xf>
    <xf numFmtId="7" fontId="3" fillId="0" borderId="14" xfId="51" applyNumberFormat="1" applyFont="1" applyBorder="1" applyAlignment="1">
      <alignment vertical="center" wrapText="1"/>
    </xf>
    <xf numFmtId="0" fontId="30" fillId="0" borderId="15" xfId="56" applyFont="1" applyBorder="1" applyAlignment="1">
      <alignment horizontal="center" vertical="center"/>
    </xf>
    <xf numFmtId="0" fontId="30" fillId="0" borderId="23" xfId="56" applyFont="1" applyBorder="1" applyAlignment="1">
      <alignment horizontal="center" vertical="center" wrapText="1"/>
    </xf>
    <xf numFmtId="0" fontId="30" fillId="0" borderId="23" xfId="56" applyFont="1" applyBorder="1" applyAlignment="1">
      <alignment horizontal="center" vertical="center"/>
    </xf>
    <xf numFmtId="0" fontId="30" fillId="0" borderId="17" xfId="56" applyFont="1" applyBorder="1" applyAlignment="1">
      <alignment horizontal="center" vertical="center" wrapText="1"/>
    </xf>
    <xf numFmtId="10" fontId="3" fillId="0" borderId="0" xfId="0" applyNumberFormat="1" applyFont="1"/>
    <xf numFmtId="0" fontId="2" fillId="0" borderId="1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30" fillId="0" borderId="23" xfId="56" applyFont="1" applyBorder="1" applyAlignment="1">
      <alignment horizontal="center" vertical="center"/>
    </xf>
    <xf numFmtId="44" fontId="3" fillId="0" borderId="0" xfId="51" applyFont="1"/>
    <xf numFmtId="10" fontId="3" fillId="0" borderId="30" xfId="52" applyNumberFormat="1" applyFont="1" applyBorder="1" applyAlignment="1">
      <alignment horizontal="center" vertical="center" wrapText="1"/>
    </xf>
    <xf numFmtId="44" fontId="3" fillId="0" borderId="30" xfId="51" applyFont="1" applyBorder="1" applyAlignment="1">
      <alignment vertical="center" wrapText="1"/>
    </xf>
    <xf numFmtId="10" fontId="3" fillId="0" borderId="15" xfId="52" applyNumberFormat="1" applyFont="1" applyBorder="1" applyAlignment="1">
      <alignment horizontal="center" vertical="center" wrapText="1"/>
    </xf>
    <xf numFmtId="44" fontId="3" fillId="0" borderId="15" xfId="51" applyFont="1" applyBorder="1" applyAlignment="1">
      <alignment vertical="center" wrapText="1"/>
    </xf>
    <xf numFmtId="44" fontId="2" fillId="0" borderId="15" xfId="51" applyFont="1" applyBorder="1" applyAlignment="1">
      <alignment vertical="center" wrapText="1"/>
    </xf>
    <xf numFmtId="8" fontId="0" fillId="0" borderId="0" xfId="0" applyNumberFormat="1"/>
    <xf numFmtId="9" fontId="3" fillId="0" borderId="15" xfId="0" applyNumberFormat="1" applyFont="1" applyBorder="1"/>
    <xf numFmtId="0" fontId="3" fillId="0" borderId="15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44" fontId="19" fillId="0" borderId="15" xfId="0" applyNumberFormat="1" applyFont="1" applyBorder="1"/>
    <xf numFmtId="165" fontId="0" fillId="0" borderId="15" xfId="0" applyNumberFormat="1" applyBorder="1" applyAlignment="1">
      <alignment horizontal="center"/>
    </xf>
    <xf numFmtId="44" fontId="47" fillId="0" borderId="15" xfId="51" applyFont="1" applyFill="1" applyBorder="1" applyAlignment="1">
      <alignment horizontal="center" vertical="center" wrapText="1"/>
    </xf>
    <xf numFmtId="8" fontId="4" fillId="0" borderId="0" xfId="56" applyNumberFormat="1"/>
    <xf numFmtId="0" fontId="30" fillId="0" borderId="0" xfId="56" applyFont="1" applyBorder="1" applyAlignment="1">
      <alignment horizontal="center" vertical="center" wrapText="1"/>
    </xf>
    <xf numFmtId="0" fontId="30" fillId="0" borderId="0" xfId="56" applyFont="1" applyBorder="1" applyAlignment="1">
      <alignment horizontal="center" vertical="center"/>
    </xf>
    <xf numFmtId="3" fontId="32" fillId="0" borderId="15" xfId="61" applyNumberFormat="1" applyFont="1" applyBorder="1" applyAlignment="1">
      <alignment horizontal="center" vertical="center" wrapText="1"/>
    </xf>
    <xf numFmtId="0" fontId="30" fillId="0" borderId="15" xfId="56" applyFont="1" applyBorder="1" applyAlignment="1">
      <alignment horizontal="center" vertical="center" wrapText="1"/>
    </xf>
    <xf numFmtId="0" fontId="30" fillId="0" borderId="15" xfId="56" applyFont="1" applyBorder="1" applyAlignment="1">
      <alignment horizontal="center" vertical="center"/>
    </xf>
    <xf numFmtId="4" fontId="31" fillId="0" borderId="15" xfId="56" applyNumberFormat="1" applyFont="1" applyBorder="1" applyAlignment="1">
      <alignment horizontal="center" vertical="center" wrapText="1"/>
    </xf>
    <xf numFmtId="0" fontId="30" fillId="0" borderId="23" xfId="56" applyFont="1" applyBorder="1" applyAlignment="1">
      <alignment horizontal="center" vertical="center" wrapText="1"/>
    </xf>
    <xf numFmtId="0" fontId="30" fillId="0" borderId="23" xfId="56" applyFont="1" applyBorder="1" applyAlignment="1">
      <alignment horizontal="center" vertical="center"/>
    </xf>
    <xf numFmtId="0" fontId="30" fillId="0" borderId="17" xfId="56" applyFont="1" applyBorder="1" applyAlignment="1">
      <alignment horizontal="center" vertical="center" wrapText="1"/>
    </xf>
    <xf numFmtId="0" fontId="30" fillId="0" borderId="0" xfId="56" applyFont="1" applyAlignment="1">
      <alignment horizontal="center"/>
    </xf>
    <xf numFmtId="0" fontId="2" fillId="0" borderId="1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8" fontId="3" fillId="0" borderId="16" xfId="51" applyNumberFormat="1" applyFont="1" applyBorder="1" applyAlignment="1">
      <alignment horizontal="center" vertical="center" wrapText="1"/>
    </xf>
    <xf numFmtId="44" fontId="3" fillId="0" borderId="17" xfId="51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35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14" fontId="3" fillId="0" borderId="16" xfId="0" applyNumberFormat="1" applyFont="1" applyBorder="1" applyAlignment="1">
      <alignment horizontal="center" vertical="center" wrapText="1"/>
    </xf>
    <xf numFmtId="0" fontId="2" fillId="35" borderId="0" xfId="0" applyFont="1" applyFill="1" applyBorder="1" applyAlignment="1">
      <alignment horizontal="center" vertical="center" wrapText="1"/>
    </xf>
    <xf numFmtId="0" fontId="23" fillId="36" borderId="0" xfId="0" applyFont="1" applyFill="1" applyAlignment="1">
      <alignment horizontal="center"/>
    </xf>
    <xf numFmtId="0" fontId="22" fillId="0" borderId="0" xfId="0" applyFont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8" fontId="3" fillId="0" borderId="16" xfId="0" applyNumberFormat="1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8" fontId="3" fillId="0" borderId="17" xfId="51" applyNumberFormat="1" applyFont="1" applyBorder="1" applyAlignment="1">
      <alignment horizontal="center" vertical="center" wrapText="1"/>
    </xf>
    <xf numFmtId="44" fontId="3" fillId="0" borderId="16" xfId="51" applyFont="1" applyBorder="1" applyAlignment="1">
      <alignment horizontal="center" vertical="center" wrapText="1"/>
    </xf>
    <xf numFmtId="44" fontId="3" fillId="0" borderId="16" xfId="51" applyFont="1" applyBorder="1" applyAlignment="1">
      <alignment horizontal="center"/>
    </xf>
    <xf numFmtId="44" fontId="3" fillId="0" borderId="18" xfId="51" applyFont="1" applyBorder="1" applyAlignment="1">
      <alignment horizontal="center"/>
    </xf>
    <xf numFmtId="0" fontId="3" fillId="0" borderId="15" xfId="0" applyFont="1" applyBorder="1" applyAlignment="1">
      <alignment horizontal="center" vertical="center" wrapText="1"/>
    </xf>
    <xf numFmtId="0" fontId="47" fillId="0" borderId="16" xfId="0" applyFont="1" applyBorder="1" applyAlignment="1">
      <alignment horizontal="center" vertical="center" wrapText="1"/>
    </xf>
    <xf numFmtId="0" fontId="47" fillId="0" borderId="18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right"/>
    </xf>
    <xf numFmtId="0" fontId="25" fillId="0" borderId="23" xfId="53" applyFont="1" applyBorder="1" applyAlignment="1">
      <alignment horizontal="center" vertical="center"/>
    </xf>
    <xf numFmtId="0" fontId="25" fillId="0" borderId="15" xfId="53" applyFont="1" applyBorder="1" applyAlignment="1">
      <alignment horizontal="center" vertical="center"/>
    </xf>
    <xf numFmtId="0" fontId="24" fillId="0" borderId="15" xfId="53" applyBorder="1" applyAlignment="1">
      <alignment horizontal="left"/>
    </xf>
    <xf numFmtId="0" fontId="25" fillId="0" borderId="16" xfId="53" applyFont="1" applyBorder="1" applyAlignment="1">
      <alignment horizontal="center" vertical="center"/>
    </xf>
    <xf numFmtId="0" fontId="25" fillId="0" borderId="17" xfId="53" applyFont="1" applyBorder="1" applyAlignment="1">
      <alignment horizontal="center" vertical="center"/>
    </xf>
    <xf numFmtId="0" fontId="25" fillId="0" borderId="18" xfId="53" applyFont="1" applyBorder="1" applyAlignment="1">
      <alignment horizontal="center" vertical="center"/>
    </xf>
    <xf numFmtId="0" fontId="24" fillId="0" borderId="15" xfId="53" applyBorder="1" applyAlignment="1">
      <alignment horizontal="left" vertical="center" wrapText="1"/>
    </xf>
    <xf numFmtId="0" fontId="24" fillId="0" borderId="16" xfId="53" applyBorder="1" applyAlignment="1">
      <alignment horizontal="left"/>
    </xf>
    <xf numFmtId="0" fontId="24" fillId="0" borderId="17" xfId="53" applyBorder="1" applyAlignment="1">
      <alignment horizontal="left"/>
    </xf>
    <xf numFmtId="0" fontId="24" fillId="0" borderId="18" xfId="53" applyBorder="1" applyAlignment="1">
      <alignment horizontal="left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19" fillId="0" borderId="16" xfId="0" applyFont="1" applyBorder="1" applyAlignment="1">
      <alignment horizontal="center"/>
    </xf>
    <xf numFmtId="0" fontId="19" fillId="0" borderId="17" xfId="0" applyFont="1" applyBorder="1" applyAlignment="1">
      <alignment horizontal="center"/>
    </xf>
    <xf numFmtId="0" fontId="19" fillId="0" borderId="18" xfId="0" applyFont="1" applyBorder="1" applyAlignment="1">
      <alignment horizontal="center"/>
    </xf>
    <xf numFmtId="0" fontId="19" fillId="0" borderId="26" xfId="0" applyFont="1" applyBorder="1" applyAlignment="1">
      <alignment horizontal="center"/>
    </xf>
    <xf numFmtId="0" fontId="40" fillId="40" borderId="16" xfId="0" applyFont="1" applyFill="1" applyBorder="1" applyAlignment="1">
      <alignment horizontal="center" vertical="center" wrapText="1"/>
    </xf>
    <xf numFmtId="0" fontId="40" fillId="40" borderId="17" xfId="0" applyFont="1" applyFill="1" applyBorder="1" applyAlignment="1">
      <alignment horizontal="center" vertical="center" wrapText="1"/>
    </xf>
    <xf numFmtId="0" fontId="40" fillId="40" borderId="18" xfId="0" applyFont="1" applyFill="1" applyBorder="1" applyAlignment="1">
      <alignment horizontal="center" vertical="center" wrapText="1"/>
    </xf>
    <xf numFmtId="44" fontId="42" fillId="41" borderId="16" xfId="51" applyFont="1" applyFill="1" applyBorder="1" applyAlignment="1">
      <alignment horizontal="center" vertical="center"/>
    </xf>
    <xf numFmtId="44" fontId="42" fillId="41" borderId="17" xfId="51" applyFont="1" applyFill="1" applyBorder="1" applyAlignment="1">
      <alignment horizontal="center" vertical="center"/>
    </xf>
    <xf numFmtId="44" fontId="42" fillId="41" borderId="18" xfId="51" applyFont="1" applyFill="1" applyBorder="1" applyAlignment="1">
      <alignment horizontal="center" vertical="center"/>
    </xf>
    <xf numFmtId="0" fontId="39" fillId="2" borderId="25" xfId="0" applyFont="1" applyFill="1" applyBorder="1" applyAlignment="1">
      <alignment horizontal="center" vertical="center" wrapText="1"/>
    </xf>
    <xf numFmtId="0" fontId="39" fillId="2" borderId="26" xfId="0" applyFont="1" applyFill="1" applyBorder="1" applyAlignment="1">
      <alignment horizontal="center" vertical="center" wrapText="1"/>
    </xf>
    <xf numFmtId="0" fontId="39" fillId="2" borderId="27" xfId="0" applyFont="1" applyFill="1" applyBorder="1" applyAlignment="1">
      <alignment horizontal="center" vertical="center" wrapText="1"/>
    </xf>
    <xf numFmtId="0" fontId="39" fillId="2" borderId="24" xfId="0" applyFont="1" applyFill="1" applyBorder="1" applyAlignment="1">
      <alignment horizontal="center" vertical="center" wrapText="1"/>
    </xf>
    <xf numFmtId="0" fontId="39" fillId="2" borderId="23" xfId="0" applyFont="1" applyFill="1" applyBorder="1" applyAlignment="1">
      <alignment horizontal="center" vertical="center" wrapText="1"/>
    </xf>
    <xf numFmtId="0" fontId="39" fillId="2" borderId="28" xfId="0" applyFont="1" applyFill="1" applyBorder="1" applyAlignment="1">
      <alignment horizontal="center" vertical="center" wrapText="1"/>
    </xf>
    <xf numFmtId="0" fontId="41" fillId="0" borderId="15" xfId="0" applyFont="1" applyBorder="1" applyAlignment="1">
      <alignment horizontal="center"/>
    </xf>
    <xf numFmtId="0" fontId="42" fillId="0" borderId="15" xfId="0" applyFont="1" applyBorder="1" applyAlignment="1">
      <alignment horizontal="center"/>
    </xf>
    <xf numFmtId="0" fontId="40" fillId="40" borderId="15" xfId="0" applyFont="1" applyFill="1" applyBorder="1" applyAlignment="1">
      <alignment horizontal="center" vertical="center" wrapText="1"/>
    </xf>
    <xf numFmtId="0" fontId="42" fillId="41" borderId="16" xfId="0" applyFont="1" applyFill="1" applyBorder="1" applyAlignment="1">
      <alignment horizontal="center" vertical="center"/>
    </xf>
    <xf numFmtId="0" fontId="42" fillId="41" borderId="17" xfId="0" applyFont="1" applyFill="1" applyBorder="1" applyAlignment="1">
      <alignment horizontal="center" vertical="center"/>
    </xf>
    <xf numFmtId="0" fontId="42" fillId="41" borderId="18" xfId="0" applyFont="1" applyFill="1" applyBorder="1" applyAlignment="1">
      <alignment horizontal="center" vertical="center"/>
    </xf>
    <xf numFmtId="44" fontId="42" fillId="41" borderId="25" xfId="51" applyFont="1" applyFill="1" applyBorder="1" applyAlignment="1">
      <alignment horizontal="center" vertical="center"/>
    </xf>
    <xf numFmtId="44" fontId="42" fillId="41" borderId="26" xfId="51" applyFont="1" applyFill="1" applyBorder="1" applyAlignment="1">
      <alignment horizontal="center" vertical="center"/>
    </xf>
    <xf numFmtId="44" fontId="42" fillId="41" borderId="27" xfId="51" applyFont="1" applyFill="1" applyBorder="1" applyAlignment="1">
      <alignment horizontal="center" vertical="center"/>
    </xf>
    <xf numFmtId="44" fontId="42" fillId="41" borderId="24" xfId="51" applyFont="1" applyFill="1" applyBorder="1" applyAlignment="1">
      <alignment horizontal="center" vertical="center"/>
    </xf>
    <xf numFmtId="44" fontId="42" fillId="41" borderId="23" xfId="51" applyFont="1" applyFill="1" applyBorder="1" applyAlignment="1">
      <alignment horizontal="center" vertical="center"/>
    </xf>
    <xf numFmtId="44" fontId="42" fillId="41" borderId="28" xfId="51" applyFont="1" applyFill="1" applyBorder="1" applyAlignment="1">
      <alignment horizontal="center" vertical="center"/>
    </xf>
    <xf numFmtId="44" fontId="42" fillId="41" borderId="15" xfId="51" applyFont="1" applyFill="1" applyBorder="1" applyAlignment="1">
      <alignment horizontal="center" vertical="center"/>
    </xf>
    <xf numFmtId="0" fontId="27" fillId="0" borderId="15" xfId="56" applyFont="1" applyFill="1" applyBorder="1" applyAlignment="1">
      <alignment horizontal="left" vertical="center"/>
    </xf>
    <xf numFmtId="0" fontId="27" fillId="0" borderId="15" xfId="56" applyFont="1" applyFill="1" applyBorder="1" applyAlignment="1">
      <alignment horizontal="left" vertical="center" wrapText="1"/>
    </xf>
    <xf numFmtId="0" fontId="26" fillId="39" borderId="15" xfId="53" applyFont="1" applyFill="1" applyBorder="1" applyAlignment="1">
      <alignment horizontal="center" vertical="center"/>
    </xf>
    <xf numFmtId="0" fontId="26" fillId="0" borderId="25" xfId="56" applyFont="1" applyFill="1" applyBorder="1" applyAlignment="1">
      <alignment horizontal="center" vertical="center"/>
    </xf>
    <xf numFmtId="0" fontId="26" fillId="0" borderId="26" xfId="56" applyFont="1" applyFill="1" applyBorder="1" applyAlignment="1">
      <alignment horizontal="center" vertical="center"/>
    </xf>
    <xf numFmtId="0" fontId="26" fillId="0" borderId="27" xfId="56" applyFont="1" applyFill="1" applyBorder="1" applyAlignment="1">
      <alignment horizontal="center" vertical="center"/>
    </xf>
    <xf numFmtId="0" fontId="25" fillId="38" borderId="24" xfId="53" applyFont="1" applyFill="1" applyBorder="1" applyAlignment="1">
      <alignment horizontal="center" vertical="center"/>
    </xf>
    <xf numFmtId="0" fontId="25" fillId="38" borderId="23" xfId="53" applyFont="1" applyFill="1" applyBorder="1" applyAlignment="1">
      <alignment horizontal="center" vertical="center"/>
    </xf>
    <xf numFmtId="0" fontId="26" fillId="39" borderId="15" xfId="56" applyFont="1" applyFill="1" applyBorder="1" applyAlignment="1">
      <alignment horizontal="center" vertical="center"/>
    </xf>
    <xf numFmtId="0" fontId="26" fillId="39" borderId="15" xfId="56" applyFont="1" applyFill="1" applyBorder="1" applyAlignment="1">
      <alignment horizontal="left" vertical="center"/>
    </xf>
  </cellXfs>
  <cellStyles count="62">
    <cellStyle name="20% - Ênfase1" xfId="22" builtinId="30" customBuiltin="1"/>
    <cellStyle name="20% - Ênfase2" xfId="26" builtinId="34" customBuiltin="1"/>
    <cellStyle name="20% - Ênfase3" xfId="30" builtinId="38" customBuiltin="1"/>
    <cellStyle name="20% - Ênfase4" xfId="34" builtinId="42" customBuiltin="1"/>
    <cellStyle name="20% - Ênfase5" xfId="38" builtinId="46" customBuiltin="1"/>
    <cellStyle name="20% - Ênfase6" xfId="42" builtinId="50" customBuiltin="1"/>
    <cellStyle name="40% - Ênfase1" xfId="23" builtinId="31" customBuiltin="1"/>
    <cellStyle name="40% - Ênfase2" xfId="27" builtinId="35" customBuiltin="1"/>
    <cellStyle name="40% - Ênfase3" xfId="31" builtinId="39" customBuiltin="1"/>
    <cellStyle name="40% - Ênfase4" xfId="35" builtinId="43" customBuiltin="1"/>
    <cellStyle name="40% - Ênfase5" xfId="39" builtinId="47" customBuiltin="1"/>
    <cellStyle name="40% - Ênfase6" xfId="43" builtinId="51" customBuiltin="1"/>
    <cellStyle name="60% - Ênfase1" xfId="24" builtinId="32" customBuiltin="1"/>
    <cellStyle name="60% - Ênfase2" xfId="28" builtinId="36" customBuiltin="1"/>
    <cellStyle name="60% - Ênfase3" xfId="32" builtinId="40" customBuiltin="1"/>
    <cellStyle name="60% - Ênfase4" xfId="36" builtinId="44" customBuiltin="1"/>
    <cellStyle name="60% - Ênfase5" xfId="40" builtinId="48" customBuiltin="1"/>
    <cellStyle name="60% - Ênfase6" xfId="44" builtinId="52" customBuiltin="1"/>
    <cellStyle name="Bom" xfId="9" builtinId="26" customBuiltin="1"/>
    <cellStyle name="Cálculo" xfId="14" builtinId="22" customBuiltin="1"/>
    <cellStyle name="Célula de Verificação" xfId="16" builtinId="23" customBuiltin="1"/>
    <cellStyle name="Célula Vinculada" xfId="15" builtinId="24" customBuiltin="1"/>
    <cellStyle name="Ênfase1" xfId="21" builtinId="29" customBuiltin="1"/>
    <cellStyle name="Ênfase2" xfId="25" builtinId="33" customBuiltin="1"/>
    <cellStyle name="Ênfase3" xfId="29" builtinId="37" customBuiltin="1"/>
    <cellStyle name="Ênfase4" xfId="33" builtinId="41" customBuiltin="1"/>
    <cellStyle name="Ênfase5" xfId="37" builtinId="45" customBuiltin="1"/>
    <cellStyle name="Ênfase6" xfId="41" builtinId="49" customBuiltin="1"/>
    <cellStyle name="Entrada" xfId="12" builtinId="20" customBuiltin="1"/>
    <cellStyle name="Moeda" xfId="51" builtinId="4"/>
    <cellStyle name="Moeda 2" xfId="54" xr:uid="{00000000-0005-0000-0000-00001F000000}"/>
    <cellStyle name="Moeda 3" xfId="55" xr:uid="{00000000-0005-0000-0000-000020000000}"/>
    <cellStyle name="Moeda 4" xfId="60" xr:uid="{3162491D-5DA8-4939-8298-71D52BC51565}"/>
    <cellStyle name="Neutro" xfId="11" builtinId="28" customBuiltin="1"/>
    <cellStyle name="Normal" xfId="0" builtinId="0"/>
    <cellStyle name="Normal 2" xfId="46" xr:uid="{00000000-0005-0000-0000-000023000000}"/>
    <cellStyle name="Normal 2 2" xfId="56" xr:uid="{00000000-0005-0000-0000-000024000000}"/>
    <cellStyle name="Normal 2 2 2" xfId="53" xr:uid="{00000000-0005-0000-0000-000025000000}"/>
    <cellStyle name="Nota" xfId="18" builtinId="10" customBuiltin="1"/>
    <cellStyle name="Porcentagem" xfId="52" builtinId="5"/>
    <cellStyle name="Porcentagem 2" xfId="58" xr:uid="{00000000-0005-0000-0000-000028000000}"/>
    <cellStyle name="Porcentagem 3" xfId="59" xr:uid="{00000000-0005-0000-0000-000029000000}"/>
    <cellStyle name="Ruim" xfId="10" builtinId="27" customBuiltin="1"/>
    <cellStyle name="Saída" xfId="13" builtinId="21" customBuiltin="1"/>
    <cellStyle name="Separador de milhares 2" xfId="57" xr:uid="{00000000-0005-0000-0000-00002B000000}"/>
    <cellStyle name="Texto de Aviso" xfId="17" builtinId="11" customBuiltin="1"/>
    <cellStyle name="Texto Explicativo" xfId="19" builtinId="53" customBuiltin="1"/>
    <cellStyle name="Título" xfId="4" builtinId="15" customBuiltin="1"/>
    <cellStyle name="Título 1" xfId="5" builtinId="16" customBuiltin="1"/>
    <cellStyle name="Título 2" xfId="6" builtinId="17" customBuiltin="1"/>
    <cellStyle name="Título 3" xfId="7" builtinId="18" customBuiltin="1"/>
    <cellStyle name="Título 4" xfId="8" builtinId="19" customBuiltin="1"/>
    <cellStyle name="Total" xfId="20" builtinId="25" customBuiltin="1"/>
    <cellStyle name="Vírgula" xfId="61" builtinId="3"/>
    <cellStyle name="Vírgula 2" xfId="1" xr:uid="{00000000-0005-0000-0000-000035000000}"/>
    <cellStyle name="Vírgula 3" xfId="3" xr:uid="{00000000-0005-0000-0000-000036000000}"/>
    <cellStyle name="Vírgula 3 2" xfId="49" xr:uid="{00000000-0005-0000-0000-000037000000}"/>
    <cellStyle name="Vírgula 4" xfId="2" xr:uid="{00000000-0005-0000-0000-000038000000}"/>
    <cellStyle name="Vírgula 4 2" xfId="48" xr:uid="{00000000-0005-0000-0000-000039000000}"/>
    <cellStyle name="Vírgula 5" xfId="45" xr:uid="{00000000-0005-0000-0000-00003A000000}"/>
    <cellStyle name="Vírgula 5 2" xfId="50" xr:uid="{00000000-0005-0000-0000-00003B000000}"/>
    <cellStyle name="Vírgula 6" xfId="47" xr:uid="{00000000-0005-0000-0000-00003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61277-4DA4-484C-ADF9-28B478EF93BE}">
  <dimension ref="A1:M43"/>
  <sheetViews>
    <sheetView tabSelected="1" view="pageBreakPreview" topLeftCell="A28" zoomScale="130" zoomScaleNormal="130" zoomScaleSheetLayoutView="130" workbookViewId="0">
      <selection activeCell="I13" sqref="I13"/>
    </sheetView>
  </sheetViews>
  <sheetFormatPr defaultRowHeight="12.75" x14ac:dyDescent="0.2"/>
  <cols>
    <col min="1" max="1" width="5.140625" style="69" bestFit="1" customWidth="1"/>
    <col min="2" max="2" width="33.140625" style="69" customWidth="1"/>
    <col min="3" max="3" width="15.5703125" style="69" hidden="1" customWidth="1"/>
    <col min="4" max="4" width="11.140625" style="69" customWidth="1"/>
    <col min="5" max="6" width="13.5703125" style="69" customWidth="1"/>
    <col min="7" max="7" width="13" style="69" customWidth="1"/>
    <col min="8" max="8" width="16.85546875" style="69" bestFit="1" customWidth="1"/>
    <col min="9" max="9" width="16.85546875" style="69" customWidth="1"/>
    <col min="10" max="10" width="16.85546875" style="69" bestFit="1" customWidth="1"/>
    <col min="11" max="11" width="18" style="69" bestFit="1" customWidth="1"/>
    <col min="12" max="12" width="14.28515625" style="69" bestFit="1" customWidth="1"/>
    <col min="13" max="13" width="11" style="69" bestFit="1" customWidth="1"/>
    <col min="14" max="258" width="9.140625" style="69"/>
    <col min="259" max="259" width="5.7109375" style="69" customWidth="1"/>
    <col min="260" max="260" width="31.5703125" style="69" customWidth="1"/>
    <col min="261" max="261" width="12.85546875" style="69" customWidth="1"/>
    <col min="262" max="262" width="13" style="69" customWidth="1"/>
    <col min="263" max="263" width="14.7109375" style="69" customWidth="1"/>
    <col min="264" max="264" width="14.7109375" style="69" bestFit="1" customWidth="1"/>
    <col min="265" max="267" width="15.85546875" style="69" bestFit="1" customWidth="1"/>
    <col min="268" max="514" width="9.140625" style="69"/>
    <col min="515" max="515" width="5.7109375" style="69" customWidth="1"/>
    <col min="516" max="516" width="31.5703125" style="69" customWidth="1"/>
    <col min="517" max="517" width="12.85546875" style="69" customWidth="1"/>
    <col min="518" max="518" width="13" style="69" customWidth="1"/>
    <col min="519" max="519" width="14.7109375" style="69" customWidth="1"/>
    <col min="520" max="520" width="14.7109375" style="69" bestFit="1" customWidth="1"/>
    <col min="521" max="523" width="15.85546875" style="69" bestFit="1" customWidth="1"/>
    <col min="524" max="770" width="9.140625" style="69"/>
    <col min="771" max="771" width="5.7109375" style="69" customWidth="1"/>
    <col min="772" max="772" width="31.5703125" style="69" customWidth="1"/>
    <col min="773" max="773" width="12.85546875" style="69" customWidth="1"/>
    <col min="774" max="774" width="13" style="69" customWidth="1"/>
    <col min="775" max="775" width="14.7109375" style="69" customWidth="1"/>
    <col min="776" max="776" width="14.7109375" style="69" bestFit="1" customWidth="1"/>
    <col min="777" max="779" width="15.85546875" style="69" bestFit="1" customWidth="1"/>
    <col min="780" max="1026" width="9.140625" style="69"/>
    <col min="1027" max="1027" width="5.7109375" style="69" customWidth="1"/>
    <col min="1028" max="1028" width="31.5703125" style="69" customWidth="1"/>
    <col min="1029" max="1029" width="12.85546875" style="69" customWidth="1"/>
    <col min="1030" max="1030" width="13" style="69" customWidth="1"/>
    <col min="1031" max="1031" width="14.7109375" style="69" customWidth="1"/>
    <col min="1032" max="1032" width="14.7109375" style="69" bestFit="1" customWidth="1"/>
    <col min="1033" max="1035" width="15.85546875" style="69" bestFit="1" customWidth="1"/>
    <col min="1036" max="1282" width="9.140625" style="69"/>
    <col min="1283" max="1283" width="5.7109375" style="69" customWidth="1"/>
    <col min="1284" max="1284" width="31.5703125" style="69" customWidth="1"/>
    <col min="1285" max="1285" width="12.85546875" style="69" customWidth="1"/>
    <col min="1286" max="1286" width="13" style="69" customWidth="1"/>
    <col min="1287" max="1287" width="14.7109375" style="69" customWidth="1"/>
    <col min="1288" max="1288" width="14.7109375" style="69" bestFit="1" customWidth="1"/>
    <col min="1289" max="1291" width="15.85546875" style="69" bestFit="1" customWidth="1"/>
    <col min="1292" max="1538" width="9.140625" style="69"/>
    <col min="1539" max="1539" width="5.7109375" style="69" customWidth="1"/>
    <col min="1540" max="1540" width="31.5703125" style="69" customWidth="1"/>
    <col min="1541" max="1541" width="12.85546875" style="69" customWidth="1"/>
    <col min="1542" max="1542" width="13" style="69" customWidth="1"/>
    <col min="1543" max="1543" width="14.7109375" style="69" customWidth="1"/>
    <col min="1544" max="1544" width="14.7109375" style="69" bestFit="1" customWidth="1"/>
    <col min="1545" max="1547" width="15.85546875" style="69" bestFit="1" customWidth="1"/>
    <col min="1548" max="1794" width="9.140625" style="69"/>
    <col min="1795" max="1795" width="5.7109375" style="69" customWidth="1"/>
    <col min="1796" max="1796" width="31.5703125" style="69" customWidth="1"/>
    <col min="1797" max="1797" width="12.85546875" style="69" customWidth="1"/>
    <col min="1798" max="1798" width="13" style="69" customWidth="1"/>
    <col min="1799" max="1799" width="14.7109375" style="69" customWidth="1"/>
    <col min="1800" max="1800" width="14.7109375" style="69" bestFit="1" customWidth="1"/>
    <col min="1801" max="1803" width="15.85546875" style="69" bestFit="1" customWidth="1"/>
    <col min="1804" max="2050" width="9.140625" style="69"/>
    <col min="2051" max="2051" width="5.7109375" style="69" customWidth="1"/>
    <col min="2052" max="2052" width="31.5703125" style="69" customWidth="1"/>
    <col min="2053" max="2053" width="12.85546875" style="69" customWidth="1"/>
    <col min="2054" max="2054" width="13" style="69" customWidth="1"/>
    <col min="2055" max="2055" width="14.7109375" style="69" customWidth="1"/>
    <col min="2056" max="2056" width="14.7109375" style="69" bestFit="1" customWidth="1"/>
    <col min="2057" max="2059" width="15.85546875" style="69" bestFit="1" customWidth="1"/>
    <col min="2060" max="2306" width="9.140625" style="69"/>
    <col min="2307" max="2307" width="5.7109375" style="69" customWidth="1"/>
    <col min="2308" max="2308" width="31.5703125" style="69" customWidth="1"/>
    <col min="2309" max="2309" width="12.85546875" style="69" customWidth="1"/>
    <col min="2310" max="2310" width="13" style="69" customWidth="1"/>
    <col min="2311" max="2311" width="14.7109375" style="69" customWidth="1"/>
    <col min="2312" max="2312" width="14.7109375" style="69" bestFit="1" customWidth="1"/>
    <col min="2313" max="2315" width="15.85546875" style="69" bestFit="1" customWidth="1"/>
    <col min="2316" max="2562" width="9.140625" style="69"/>
    <col min="2563" max="2563" width="5.7109375" style="69" customWidth="1"/>
    <col min="2564" max="2564" width="31.5703125" style="69" customWidth="1"/>
    <col min="2565" max="2565" width="12.85546875" style="69" customWidth="1"/>
    <col min="2566" max="2566" width="13" style="69" customWidth="1"/>
    <col min="2567" max="2567" width="14.7109375" style="69" customWidth="1"/>
    <col min="2568" max="2568" width="14.7109375" style="69" bestFit="1" customWidth="1"/>
    <col min="2569" max="2571" width="15.85546875" style="69" bestFit="1" customWidth="1"/>
    <col min="2572" max="2818" width="9.140625" style="69"/>
    <col min="2819" max="2819" width="5.7109375" style="69" customWidth="1"/>
    <col min="2820" max="2820" width="31.5703125" style="69" customWidth="1"/>
    <col min="2821" max="2821" width="12.85546875" style="69" customWidth="1"/>
    <col min="2822" max="2822" width="13" style="69" customWidth="1"/>
    <col min="2823" max="2823" width="14.7109375" style="69" customWidth="1"/>
    <col min="2824" max="2824" width="14.7109375" style="69" bestFit="1" customWidth="1"/>
    <col min="2825" max="2827" width="15.85546875" style="69" bestFit="1" customWidth="1"/>
    <col min="2828" max="3074" width="9.140625" style="69"/>
    <col min="3075" max="3075" width="5.7109375" style="69" customWidth="1"/>
    <col min="3076" max="3076" width="31.5703125" style="69" customWidth="1"/>
    <col min="3077" max="3077" width="12.85546875" style="69" customWidth="1"/>
    <col min="3078" max="3078" width="13" style="69" customWidth="1"/>
    <col min="3079" max="3079" width="14.7109375" style="69" customWidth="1"/>
    <col min="3080" max="3080" width="14.7109375" style="69" bestFit="1" customWidth="1"/>
    <col min="3081" max="3083" width="15.85546875" style="69" bestFit="1" customWidth="1"/>
    <col min="3084" max="3330" width="9.140625" style="69"/>
    <col min="3331" max="3331" width="5.7109375" style="69" customWidth="1"/>
    <col min="3332" max="3332" width="31.5703125" style="69" customWidth="1"/>
    <col min="3333" max="3333" width="12.85546875" style="69" customWidth="1"/>
    <col min="3334" max="3334" width="13" style="69" customWidth="1"/>
    <col min="3335" max="3335" width="14.7109375" style="69" customWidth="1"/>
    <col min="3336" max="3336" width="14.7109375" style="69" bestFit="1" customWidth="1"/>
    <col min="3337" max="3339" width="15.85546875" style="69" bestFit="1" customWidth="1"/>
    <col min="3340" max="3586" width="9.140625" style="69"/>
    <col min="3587" max="3587" width="5.7109375" style="69" customWidth="1"/>
    <col min="3588" max="3588" width="31.5703125" style="69" customWidth="1"/>
    <col min="3589" max="3589" width="12.85546875" style="69" customWidth="1"/>
    <col min="3590" max="3590" width="13" style="69" customWidth="1"/>
    <col min="3591" max="3591" width="14.7109375" style="69" customWidth="1"/>
    <col min="3592" max="3592" width="14.7109375" style="69" bestFit="1" customWidth="1"/>
    <col min="3593" max="3595" width="15.85546875" style="69" bestFit="1" customWidth="1"/>
    <col min="3596" max="3842" width="9.140625" style="69"/>
    <col min="3843" max="3843" width="5.7109375" style="69" customWidth="1"/>
    <col min="3844" max="3844" width="31.5703125" style="69" customWidth="1"/>
    <col min="3845" max="3845" width="12.85546875" style="69" customWidth="1"/>
    <col min="3846" max="3846" width="13" style="69" customWidth="1"/>
    <col min="3847" max="3847" width="14.7109375" style="69" customWidth="1"/>
    <col min="3848" max="3848" width="14.7109375" style="69" bestFit="1" customWidth="1"/>
    <col min="3849" max="3851" width="15.85546875" style="69" bestFit="1" customWidth="1"/>
    <col min="3852" max="4098" width="9.140625" style="69"/>
    <col min="4099" max="4099" width="5.7109375" style="69" customWidth="1"/>
    <col min="4100" max="4100" width="31.5703125" style="69" customWidth="1"/>
    <col min="4101" max="4101" width="12.85546875" style="69" customWidth="1"/>
    <col min="4102" max="4102" width="13" style="69" customWidth="1"/>
    <col min="4103" max="4103" width="14.7109375" style="69" customWidth="1"/>
    <col min="4104" max="4104" width="14.7109375" style="69" bestFit="1" customWidth="1"/>
    <col min="4105" max="4107" width="15.85546875" style="69" bestFit="1" customWidth="1"/>
    <col min="4108" max="4354" width="9.140625" style="69"/>
    <col min="4355" max="4355" width="5.7109375" style="69" customWidth="1"/>
    <col min="4356" max="4356" width="31.5703125" style="69" customWidth="1"/>
    <col min="4357" max="4357" width="12.85546875" style="69" customWidth="1"/>
    <col min="4358" max="4358" width="13" style="69" customWidth="1"/>
    <col min="4359" max="4359" width="14.7109375" style="69" customWidth="1"/>
    <col min="4360" max="4360" width="14.7109375" style="69" bestFit="1" customWidth="1"/>
    <col min="4361" max="4363" width="15.85546875" style="69" bestFit="1" customWidth="1"/>
    <col min="4364" max="4610" width="9.140625" style="69"/>
    <col min="4611" max="4611" width="5.7109375" style="69" customWidth="1"/>
    <col min="4612" max="4612" width="31.5703125" style="69" customWidth="1"/>
    <col min="4613" max="4613" width="12.85546875" style="69" customWidth="1"/>
    <col min="4614" max="4614" width="13" style="69" customWidth="1"/>
    <col min="4615" max="4615" width="14.7109375" style="69" customWidth="1"/>
    <col min="4616" max="4616" width="14.7109375" style="69" bestFit="1" customWidth="1"/>
    <col min="4617" max="4619" width="15.85546875" style="69" bestFit="1" customWidth="1"/>
    <col min="4620" max="4866" width="9.140625" style="69"/>
    <col min="4867" max="4867" width="5.7109375" style="69" customWidth="1"/>
    <col min="4868" max="4868" width="31.5703125" style="69" customWidth="1"/>
    <col min="4869" max="4869" width="12.85546875" style="69" customWidth="1"/>
    <col min="4870" max="4870" width="13" style="69" customWidth="1"/>
    <col min="4871" max="4871" width="14.7109375" style="69" customWidth="1"/>
    <col min="4872" max="4872" width="14.7109375" style="69" bestFit="1" customWidth="1"/>
    <col min="4873" max="4875" width="15.85546875" style="69" bestFit="1" customWidth="1"/>
    <col min="4876" max="5122" width="9.140625" style="69"/>
    <col min="5123" max="5123" width="5.7109375" style="69" customWidth="1"/>
    <col min="5124" max="5124" width="31.5703125" style="69" customWidth="1"/>
    <col min="5125" max="5125" width="12.85546875" style="69" customWidth="1"/>
    <col min="5126" max="5126" width="13" style="69" customWidth="1"/>
    <col min="5127" max="5127" width="14.7109375" style="69" customWidth="1"/>
    <col min="5128" max="5128" width="14.7109375" style="69" bestFit="1" customWidth="1"/>
    <col min="5129" max="5131" width="15.85546875" style="69" bestFit="1" customWidth="1"/>
    <col min="5132" max="5378" width="9.140625" style="69"/>
    <col min="5379" max="5379" width="5.7109375" style="69" customWidth="1"/>
    <col min="5380" max="5380" width="31.5703125" style="69" customWidth="1"/>
    <col min="5381" max="5381" width="12.85546875" style="69" customWidth="1"/>
    <col min="5382" max="5382" width="13" style="69" customWidth="1"/>
    <col min="5383" max="5383" width="14.7109375" style="69" customWidth="1"/>
    <col min="5384" max="5384" width="14.7109375" style="69" bestFit="1" customWidth="1"/>
    <col min="5385" max="5387" width="15.85546875" style="69" bestFit="1" customWidth="1"/>
    <col min="5388" max="5634" width="9.140625" style="69"/>
    <col min="5635" max="5635" width="5.7109375" style="69" customWidth="1"/>
    <col min="5636" max="5636" width="31.5703125" style="69" customWidth="1"/>
    <col min="5637" max="5637" width="12.85546875" style="69" customWidth="1"/>
    <col min="5638" max="5638" width="13" style="69" customWidth="1"/>
    <col min="5639" max="5639" width="14.7109375" style="69" customWidth="1"/>
    <col min="5640" max="5640" width="14.7109375" style="69" bestFit="1" customWidth="1"/>
    <col min="5641" max="5643" width="15.85546875" style="69" bestFit="1" customWidth="1"/>
    <col min="5644" max="5890" width="9.140625" style="69"/>
    <col min="5891" max="5891" width="5.7109375" style="69" customWidth="1"/>
    <col min="5892" max="5892" width="31.5703125" style="69" customWidth="1"/>
    <col min="5893" max="5893" width="12.85546875" style="69" customWidth="1"/>
    <col min="5894" max="5894" width="13" style="69" customWidth="1"/>
    <col min="5895" max="5895" width="14.7109375" style="69" customWidth="1"/>
    <col min="5896" max="5896" width="14.7109375" style="69" bestFit="1" customWidth="1"/>
    <col min="5897" max="5899" width="15.85546875" style="69" bestFit="1" customWidth="1"/>
    <col min="5900" max="6146" width="9.140625" style="69"/>
    <col min="6147" max="6147" width="5.7109375" style="69" customWidth="1"/>
    <col min="6148" max="6148" width="31.5703125" style="69" customWidth="1"/>
    <col min="6149" max="6149" width="12.85546875" style="69" customWidth="1"/>
    <col min="6150" max="6150" width="13" style="69" customWidth="1"/>
    <col min="6151" max="6151" width="14.7109375" style="69" customWidth="1"/>
    <col min="6152" max="6152" width="14.7109375" style="69" bestFit="1" customWidth="1"/>
    <col min="6153" max="6155" width="15.85546875" style="69" bestFit="1" customWidth="1"/>
    <col min="6156" max="6402" width="9.140625" style="69"/>
    <col min="6403" max="6403" width="5.7109375" style="69" customWidth="1"/>
    <col min="6404" max="6404" width="31.5703125" style="69" customWidth="1"/>
    <col min="6405" max="6405" width="12.85546875" style="69" customWidth="1"/>
    <col min="6406" max="6406" width="13" style="69" customWidth="1"/>
    <col min="6407" max="6407" width="14.7109375" style="69" customWidth="1"/>
    <col min="6408" max="6408" width="14.7109375" style="69" bestFit="1" customWidth="1"/>
    <col min="6409" max="6411" width="15.85546875" style="69" bestFit="1" customWidth="1"/>
    <col min="6412" max="6658" width="9.140625" style="69"/>
    <col min="6659" max="6659" width="5.7109375" style="69" customWidth="1"/>
    <col min="6660" max="6660" width="31.5703125" style="69" customWidth="1"/>
    <col min="6661" max="6661" width="12.85546875" style="69" customWidth="1"/>
    <col min="6662" max="6662" width="13" style="69" customWidth="1"/>
    <col min="6663" max="6663" width="14.7109375" style="69" customWidth="1"/>
    <col min="6664" max="6664" width="14.7109375" style="69" bestFit="1" customWidth="1"/>
    <col min="6665" max="6667" width="15.85546875" style="69" bestFit="1" customWidth="1"/>
    <col min="6668" max="6914" width="9.140625" style="69"/>
    <col min="6915" max="6915" width="5.7109375" style="69" customWidth="1"/>
    <col min="6916" max="6916" width="31.5703125" style="69" customWidth="1"/>
    <col min="6917" max="6917" width="12.85546875" style="69" customWidth="1"/>
    <col min="6918" max="6918" width="13" style="69" customWidth="1"/>
    <col min="6919" max="6919" width="14.7109375" style="69" customWidth="1"/>
    <col min="6920" max="6920" width="14.7109375" style="69" bestFit="1" customWidth="1"/>
    <col min="6921" max="6923" width="15.85546875" style="69" bestFit="1" customWidth="1"/>
    <col min="6924" max="7170" width="9.140625" style="69"/>
    <col min="7171" max="7171" width="5.7109375" style="69" customWidth="1"/>
    <col min="7172" max="7172" width="31.5703125" style="69" customWidth="1"/>
    <col min="7173" max="7173" width="12.85546875" style="69" customWidth="1"/>
    <col min="7174" max="7174" width="13" style="69" customWidth="1"/>
    <col min="7175" max="7175" width="14.7109375" style="69" customWidth="1"/>
    <col min="7176" max="7176" width="14.7109375" style="69" bestFit="1" customWidth="1"/>
    <col min="7177" max="7179" width="15.85546875" style="69" bestFit="1" customWidth="1"/>
    <col min="7180" max="7426" width="9.140625" style="69"/>
    <col min="7427" max="7427" width="5.7109375" style="69" customWidth="1"/>
    <col min="7428" max="7428" width="31.5703125" style="69" customWidth="1"/>
    <col min="7429" max="7429" width="12.85546875" style="69" customWidth="1"/>
    <col min="7430" max="7430" width="13" style="69" customWidth="1"/>
    <col min="7431" max="7431" width="14.7109375" style="69" customWidth="1"/>
    <col min="7432" max="7432" width="14.7109375" style="69" bestFit="1" customWidth="1"/>
    <col min="7433" max="7435" width="15.85546875" style="69" bestFit="1" customWidth="1"/>
    <col min="7436" max="7682" width="9.140625" style="69"/>
    <col min="7683" max="7683" width="5.7109375" style="69" customWidth="1"/>
    <col min="7684" max="7684" width="31.5703125" style="69" customWidth="1"/>
    <col min="7685" max="7685" width="12.85546875" style="69" customWidth="1"/>
    <col min="7686" max="7686" width="13" style="69" customWidth="1"/>
    <col min="7687" max="7687" width="14.7109375" style="69" customWidth="1"/>
    <col min="7688" max="7688" width="14.7109375" style="69" bestFit="1" customWidth="1"/>
    <col min="7689" max="7691" width="15.85546875" style="69" bestFit="1" customWidth="1"/>
    <col min="7692" max="7938" width="9.140625" style="69"/>
    <col min="7939" max="7939" width="5.7109375" style="69" customWidth="1"/>
    <col min="7940" max="7940" width="31.5703125" style="69" customWidth="1"/>
    <col min="7941" max="7941" width="12.85546875" style="69" customWidth="1"/>
    <col min="7942" max="7942" width="13" style="69" customWidth="1"/>
    <col min="7943" max="7943" width="14.7109375" style="69" customWidth="1"/>
    <col min="7944" max="7944" width="14.7109375" style="69" bestFit="1" customWidth="1"/>
    <col min="7945" max="7947" width="15.85546875" style="69" bestFit="1" customWidth="1"/>
    <col min="7948" max="8194" width="9.140625" style="69"/>
    <col min="8195" max="8195" width="5.7109375" style="69" customWidth="1"/>
    <col min="8196" max="8196" width="31.5703125" style="69" customWidth="1"/>
    <col min="8197" max="8197" width="12.85546875" style="69" customWidth="1"/>
    <col min="8198" max="8198" width="13" style="69" customWidth="1"/>
    <col min="8199" max="8199" width="14.7109375" style="69" customWidth="1"/>
    <col min="8200" max="8200" width="14.7109375" style="69" bestFit="1" customWidth="1"/>
    <col min="8201" max="8203" width="15.85546875" style="69" bestFit="1" customWidth="1"/>
    <col min="8204" max="8450" width="9.140625" style="69"/>
    <col min="8451" max="8451" width="5.7109375" style="69" customWidth="1"/>
    <col min="8452" max="8452" width="31.5703125" style="69" customWidth="1"/>
    <col min="8453" max="8453" width="12.85546875" style="69" customWidth="1"/>
    <col min="8454" max="8454" width="13" style="69" customWidth="1"/>
    <col min="8455" max="8455" width="14.7109375" style="69" customWidth="1"/>
    <col min="8456" max="8456" width="14.7109375" style="69" bestFit="1" customWidth="1"/>
    <col min="8457" max="8459" width="15.85546875" style="69" bestFit="1" customWidth="1"/>
    <col min="8460" max="8706" width="9.140625" style="69"/>
    <col min="8707" max="8707" width="5.7109375" style="69" customWidth="1"/>
    <col min="8708" max="8708" width="31.5703125" style="69" customWidth="1"/>
    <col min="8709" max="8709" width="12.85546875" style="69" customWidth="1"/>
    <col min="8710" max="8710" width="13" style="69" customWidth="1"/>
    <col min="8711" max="8711" width="14.7109375" style="69" customWidth="1"/>
    <col min="8712" max="8712" width="14.7109375" style="69" bestFit="1" customWidth="1"/>
    <col min="8713" max="8715" width="15.85546875" style="69" bestFit="1" customWidth="1"/>
    <col min="8716" max="8962" width="9.140625" style="69"/>
    <col min="8963" max="8963" width="5.7109375" style="69" customWidth="1"/>
    <col min="8964" max="8964" width="31.5703125" style="69" customWidth="1"/>
    <col min="8965" max="8965" width="12.85546875" style="69" customWidth="1"/>
    <col min="8966" max="8966" width="13" style="69" customWidth="1"/>
    <col min="8967" max="8967" width="14.7109375" style="69" customWidth="1"/>
    <col min="8968" max="8968" width="14.7109375" style="69" bestFit="1" customWidth="1"/>
    <col min="8969" max="8971" width="15.85546875" style="69" bestFit="1" customWidth="1"/>
    <col min="8972" max="9218" width="9.140625" style="69"/>
    <col min="9219" max="9219" width="5.7109375" style="69" customWidth="1"/>
    <col min="9220" max="9220" width="31.5703125" style="69" customWidth="1"/>
    <col min="9221" max="9221" width="12.85546875" style="69" customWidth="1"/>
    <col min="9222" max="9222" width="13" style="69" customWidth="1"/>
    <col min="9223" max="9223" width="14.7109375" style="69" customWidth="1"/>
    <col min="9224" max="9224" width="14.7109375" style="69" bestFit="1" customWidth="1"/>
    <col min="9225" max="9227" width="15.85546875" style="69" bestFit="1" customWidth="1"/>
    <col min="9228" max="9474" width="9.140625" style="69"/>
    <col min="9475" max="9475" width="5.7109375" style="69" customWidth="1"/>
    <col min="9476" max="9476" width="31.5703125" style="69" customWidth="1"/>
    <col min="9477" max="9477" width="12.85546875" style="69" customWidth="1"/>
    <col min="9478" max="9478" width="13" style="69" customWidth="1"/>
    <col min="9479" max="9479" width="14.7109375" style="69" customWidth="1"/>
    <col min="9480" max="9480" width="14.7109375" style="69" bestFit="1" customWidth="1"/>
    <col min="9481" max="9483" width="15.85546875" style="69" bestFit="1" customWidth="1"/>
    <col min="9484" max="9730" width="9.140625" style="69"/>
    <col min="9731" max="9731" width="5.7109375" style="69" customWidth="1"/>
    <col min="9732" max="9732" width="31.5703125" style="69" customWidth="1"/>
    <col min="9733" max="9733" width="12.85546875" style="69" customWidth="1"/>
    <col min="9734" max="9734" width="13" style="69" customWidth="1"/>
    <col min="9735" max="9735" width="14.7109375" style="69" customWidth="1"/>
    <col min="9736" max="9736" width="14.7109375" style="69" bestFit="1" customWidth="1"/>
    <col min="9737" max="9739" width="15.85546875" style="69" bestFit="1" customWidth="1"/>
    <col min="9740" max="9986" width="9.140625" style="69"/>
    <col min="9987" max="9987" width="5.7109375" style="69" customWidth="1"/>
    <col min="9988" max="9988" width="31.5703125" style="69" customWidth="1"/>
    <col min="9989" max="9989" width="12.85546875" style="69" customWidth="1"/>
    <col min="9990" max="9990" width="13" style="69" customWidth="1"/>
    <col min="9991" max="9991" width="14.7109375" style="69" customWidth="1"/>
    <col min="9992" max="9992" width="14.7109375" style="69" bestFit="1" customWidth="1"/>
    <col min="9993" max="9995" width="15.85546875" style="69" bestFit="1" customWidth="1"/>
    <col min="9996" max="10242" width="9.140625" style="69"/>
    <col min="10243" max="10243" width="5.7109375" style="69" customWidth="1"/>
    <col min="10244" max="10244" width="31.5703125" style="69" customWidth="1"/>
    <col min="10245" max="10245" width="12.85546875" style="69" customWidth="1"/>
    <col min="10246" max="10246" width="13" style="69" customWidth="1"/>
    <col min="10247" max="10247" width="14.7109375" style="69" customWidth="1"/>
    <col min="10248" max="10248" width="14.7109375" style="69" bestFit="1" customWidth="1"/>
    <col min="10249" max="10251" width="15.85546875" style="69" bestFit="1" customWidth="1"/>
    <col min="10252" max="10498" width="9.140625" style="69"/>
    <col min="10499" max="10499" width="5.7109375" style="69" customWidth="1"/>
    <col min="10500" max="10500" width="31.5703125" style="69" customWidth="1"/>
    <col min="10501" max="10501" width="12.85546875" style="69" customWidth="1"/>
    <col min="10502" max="10502" width="13" style="69" customWidth="1"/>
    <col min="10503" max="10503" width="14.7109375" style="69" customWidth="1"/>
    <col min="10504" max="10504" width="14.7109375" style="69" bestFit="1" customWidth="1"/>
    <col min="10505" max="10507" width="15.85546875" style="69" bestFit="1" customWidth="1"/>
    <col min="10508" max="10754" width="9.140625" style="69"/>
    <col min="10755" max="10755" width="5.7109375" style="69" customWidth="1"/>
    <col min="10756" max="10756" width="31.5703125" style="69" customWidth="1"/>
    <col min="10757" max="10757" width="12.85546875" style="69" customWidth="1"/>
    <col min="10758" max="10758" width="13" style="69" customWidth="1"/>
    <col min="10759" max="10759" width="14.7109375" style="69" customWidth="1"/>
    <col min="10760" max="10760" width="14.7109375" style="69" bestFit="1" customWidth="1"/>
    <col min="10761" max="10763" width="15.85546875" style="69" bestFit="1" customWidth="1"/>
    <col min="10764" max="11010" width="9.140625" style="69"/>
    <col min="11011" max="11011" width="5.7109375" style="69" customWidth="1"/>
    <col min="11012" max="11012" width="31.5703125" style="69" customWidth="1"/>
    <col min="11013" max="11013" width="12.85546875" style="69" customWidth="1"/>
    <col min="11014" max="11014" width="13" style="69" customWidth="1"/>
    <col min="11015" max="11015" width="14.7109375" style="69" customWidth="1"/>
    <col min="11016" max="11016" width="14.7109375" style="69" bestFit="1" customWidth="1"/>
    <col min="11017" max="11019" width="15.85546875" style="69" bestFit="1" customWidth="1"/>
    <col min="11020" max="11266" width="9.140625" style="69"/>
    <col min="11267" max="11267" width="5.7109375" style="69" customWidth="1"/>
    <col min="11268" max="11268" width="31.5703125" style="69" customWidth="1"/>
    <col min="11269" max="11269" width="12.85546875" style="69" customWidth="1"/>
    <col min="11270" max="11270" width="13" style="69" customWidth="1"/>
    <col min="11271" max="11271" width="14.7109375" style="69" customWidth="1"/>
    <col min="11272" max="11272" width="14.7109375" style="69" bestFit="1" customWidth="1"/>
    <col min="11273" max="11275" width="15.85546875" style="69" bestFit="1" customWidth="1"/>
    <col min="11276" max="11522" width="9.140625" style="69"/>
    <col min="11523" max="11523" width="5.7109375" style="69" customWidth="1"/>
    <col min="11524" max="11524" width="31.5703125" style="69" customWidth="1"/>
    <col min="11525" max="11525" width="12.85546875" style="69" customWidth="1"/>
    <col min="11526" max="11526" width="13" style="69" customWidth="1"/>
    <col min="11527" max="11527" width="14.7109375" style="69" customWidth="1"/>
    <col min="11528" max="11528" width="14.7109375" style="69" bestFit="1" customWidth="1"/>
    <col min="11529" max="11531" width="15.85546875" style="69" bestFit="1" customWidth="1"/>
    <col min="11532" max="11778" width="9.140625" style="69"/>
    <col min="11779" max="11779" width="5.7109375" style="69" customWidth="1"/>
    <col min="11780" max="11780" width="31.5703125" style="69" customWidth="1"/>
    <col min="11781" max="11781" width="12.85546875" style="69" customWidth="1"/>
    <col min="11782" max="11782" width="13" style="69" customWidth="1"/>
    <col min="11783" max="11783" width="14.7109375" style="69" customWidth="1"/>
    <col min="11784" max="11784" width="14.7109375" style="69" bestFit="1" customWidth="1"/>
    <col min="11785" max="11787" width="15.85546875" style="69" bestFit="1" customWidth="1"/>
    <col min="11788" max="12034" width="9.140625" style="69"/>
    <col min="12035" max="12035" width="5.7109375" style="69" customWidth="1"/>
    <col min="12036" max="12036" width="31.5703125" style="69" customWidth="1"/>
    <col min="12037" max="12037" width="12.85546875" style="69" customWidth="1"/>
    <col min="12038" max="12038" width="13" style="69" customWidth="1"/>
    <col min="12039" max="12039" width="14.7109375" style="69" customWidth="1"/>
    <col min="12040" max="12040" width="14.7109375" style="69" bestFit="1" customWidth="1"/>
    <col min="12041" max="12043" width="15.85546875" style="69" bestFit="1" customWidth="1"/>
    <col min="12044" max="12290" width="9.140625" style="69"/>
    <col min="12291" max="12291" width="5.7109375" style="69" customWidth="1"/>
    <col min="12292" max="12292" width="31.5703125" style="69" customWidth="1"/>
    <col min="12293" max="12293" width="12.85546875" style="69" customWidth="1"/>
    <col min="12294" max="12294" width="13" style="69" customWidth="1"/>
    <col min="12295" max="12295" width="14.7109375" style="69" customWidth="1"/>
    <col min="12296" max="12296" width="14.7109375" style="69" bestFit="1" customWidth="1"/>
    <col min="12297" max="12299" width="15.85546875" style="69" bestFit="1" customWidth="1"/>
    <col min="12300" max="12546" width="9.140625" style="69"/>
    <col min="12547" max="12547" width="5.7109375" style="69" customWidth="1"/>
    <col min="12548" max="12548" width="31.5703125" style="69" customWidth="1"/>
    <col min="12549" max="12549" width="12.85546875" style="69" customWidth="1"/>
    <col min="12550" max="12550" width="13" style="69" customWidth="1"/>
    <col min="12551" max="12551" width="14.7109375" style="69" customWidth="1"/>
    <col min="12552" max="12552" width="14.7109375" style="69" bestFit="1" customWidth="1"/>
    <col min="12553" max="12555" width="15.85546875" style="69" bestFit="1" customWidth="1"/>
    <col min="12556" max="12802" width="9.140625" style="69"/>
    <col min="12803" max="12803" width="5.7109375" style="69" customWidth="1"/>
    <col min="12804" max="12804" width="31.5703125" style="69" customWidth="1"/>
    <col min="12805" max="12805" width="12.85546875" style="69" customWidth="1"/>
    <col min="12806" max="12806" width="13" style="69" customWidth="1"/>
    <col min="12807" max="12807" width="14.7109375" style="69" customWidth="1"/>
    <col min="12808" max="12808" width="14.7109375" style="69" bestFit="1" customWidth="1"/>
    <col min="12809" max="12811" width="15.85546875" style="69" bestFit="1" customWidth="1"/>
    <col min="12812" max="13058" width="9.140625" style="69"/>
    <col min="13059" max="13059" width="5.7109375" style="69" customWidth="1"/>
    <col min="13060" max="13060" width="31.5703125" style="69" customWidth="1"/>
    <col min="13061" max="13061" width="12.85546875" style="69" customWidth="1"/>
    <col min="13062" max="13062" width="13" style="69" customWidth="1"/>
    <col min="13063" max="13063" width="14.7109375" style="69" customWidth="1"/>
    <col min="13064" max="13064" width="14.7109375" style="69" bestFit="1" customWidth="1"/>
    <col min="13065" max="13067" width="15.85546875" style="69" bestFit="1" customWidth="1"/>
    <col min="13068" max="13314" width="9.140625" style="69"/>
    <col min="13315" max="13315" width="5.7109375" style="69" customWidth="1"/>
    <col min="13316" max="13316" width="31.5703125" style="69" customWidth="1"/>
    <col min="13317" max="13317" width="12.85546875" style="69" customWidth="1"/>
    <col min="13318" max="13318" width="13" style="69" customWidth="1"/>
    <col min="13319" max="13319" width="14.7109375" style="69" customWidth="1"/>
    <col min="13320" max="13320" width="14.7109375" style="69" bestFit="1" customWidth="1"/>
    <col min="13321" max="13323" width="15.85546875" style="69" bestFit="1" customWidth="1"/>
    <col min="13324" max="13570" width="9.140625" style="69"/>
    <col min="13571" max="13571" width="5.7109375" style="69" customWidth="1"/>
    <col min="13572" max="13572" width="31.5703125" style="69" customWidth="1"/>
    <col min="13573" max="13573" width="12.85546875" style="69" customWidth="1"/>
    <col min="13574" max="13574" width="13" style="69" customWidth="1"/>
    <col min="13575" max="13575" width="14.7109375" style="69" customWidth="1"/>
    <col min="13576" max="13576" width="14.7109375" style="69" bestFit="1" customWidth="1"/>
    <col min="13577" max="13579" width="15.85546875" style="69" bestFit="1" customWidth="1"/>
    <col min="13580" max="13826" width="9.140625" style="69"/>
    <col min="13827" max="13827" width="5.7109375" style="69" customWidth="1"/>
    <col min="13828" max="13828" width="31.5703125" style="69" customWidth="1"/>
    <col min="13829" max="13829" width="12.85546875" style="69" customWidth="1"/>
    <col min="13830" max="13830" width="13" style="69" customWidth="1"/>
    <col min="13831" max="13831" width="14.7109375" style="69" customWidth="1"/>
    <col min="13832" max="13832" width="14.7109375" style="69" bestFit="1" customWidth="1"/>
    <col min="13833" max="13835" width="15.85546875" style="69" bestFit="1" customWidth="1"/>
    <col min="13836" max="14082" width="9.140625" style="69"/>
    <col min="14083" max="14083" width="5.7109375" style="69" customWidth="1"/>
    <col min="14084" max="14084" width="31.5703125" style="69" customWidth="1"/>
    <col min="14085" max="14085" width="12.85546875" style="69" customWidth="1"/>
    <col min="14086" max="14086" width="13" style="69" customWidth="1"/>
    <col min="14087" max="14087" width="14.7109375" style="69" customWidth="1"/>
    <col min="14088" max="14088" width="14.7109375" style="69" bestFit="1" customWidth="1"/>
    <col min="14089" max="14091" width="15.85546875" style="69" bestFit="1" customWidth="1"/>
    <col min="14092" max="14338" width="9.140625" style="69"/>
    <col min="14339" max="14339" width="5.7109375" style="69" customWidth="1"/>
    <col min="14340" max="14340" width="31.5703125" style="69" customWidth="1"/>
    <col min="14341" max="14341" width="12.85546875" style="69" customWidth="1"/>
    <col min="14342" max="14342" width="13" style="69" customWidth="1"/>
    <col min="14343" max="14343" width="14.7109375" style="69" customWidth="1"/>
    <col min="14344" max="14344" width="14.7109375" style="69" bestFit="1" customWidth="1"/>
    <col min="14345" max="14347" width="15.85546875" style="69" bestFit="1" customWidth="1"/>
    <col min="14348" max="14594" width="9.140625" style="69"/>
    <col min="14595" max="14595" width="5.7109375" style="69" customWidth="1"/>
    <col min="14596" max="14596" width="31.5703125" style="69" customWidth="1"/>
    <col min="14597" max="14597" width="12.85546875" style="69" customWidth="1"/>
    <col min="14598" max="14598" width="13" style="69" customWidth="1"/>
    <col min="14599" max="14599" width="14.7109375" style="69" customWidth="1"/>
    <col min="14600" max="14600" width="14.7109375" style="69" bestFit="1" customWidth="1"/>
    <col min="14601" max="14603" width="15.85546875" style="69" bestFit="1" customWidth="1"/>
    <col min="14604" max="14850" width="9.140625" style="69"/>
    <col min="14851" max="14851" width="5.7109375" style="69" customWidth="1"/>
    <col min="14852" max="14852" width="31.5703125" style="69" customWidth="1"/>
    <col min="14853" max="14853" width="12.85546875" style="69" customWidth="1"/>
    <col min="14854" max="14854" width="13" style="69" customWidth="1"/>
    <col min="14855" max="14855" width="14.7109375" style="69" customWidth="1"/>
    <col min="14856" max="14856" width="14.7109375" style="69" bestFit="1" customWidth="1"/>
    <col min="14857" max="14859" width="15.85546875" style="69" bestFit="1" customWidth="1"/>
    <col min="14860" max="15106" width="9.140625" style="69"/>
    <col min="15107" max="15107" width="5.7109375" style="69" customWidth="1"/>
    <col min="15108" max="15108" width="31.5703125" style="69" customWidth="1"/>
    <col min="15109" max="15109" width="12.85546875" style="69" customWidth="1"/>
    <col min="15110" max="15110" width="13" style="69" customWidth="1"/>
    <col min="15111" max="15111" width="14.7109375" style="69" customWidth="1"/>
    <col min="15112" max="15112" width="14.7109375" style="69" bestFit="1" customWidth="1"/>
    <col min="15113" max="15115" width="15.85546875" style="69" bestFit="1" customWidth="1"/>
    <col min="15116" max="15362" width="9.140625" style="69"/>
    <col min="15363" max="15363" width="5.7109375" style="69" customWidth="1"/>
    <col min="15364" max="15364" width="31.5703125" style="69" customWidth="1"/>
    <col min="15365" max="15365" width="12.85546875" style="69" customWidth="1"/>
    <col min="15366" max="15366" width="13" style="69" customWidth="1"/>
    <col min="15367" max="15367" width="14.7109375" style="69" customWidth="1"/>
    <col min="15368" max="15368" width="14.7109375" style="69" bestFit="1" customWidth="1"/>
    <col min="15369" max="15371" width="15.85546875" style="69" bestFit="1" customWidth="1"/>
    <col min="15372" max="15618" width="9.140625" style="69"/>
    <col min="15619" max="15619" width="5.7109375" style="69" customWidth="1"/>
    <col min="15620" max="15620" width="31.5703125" style="69" customWidth="1"/>
    <col min="15621" max="15621" width="12.85546875" style="69" customWidth="1"/>
    <col min="15622" max="15622" width="13" style="69" customWidth="1"/>
    <col min="15623" max="15623" width="14.7109375" style="69" customWidth="1"/>
    <col min="15624" max="15624" width="14.7109375" style="69" bestFit="1" customWidth="1"/>
    <col min="15625" max="15627" width="15.85546875" style="69" bestFit="1" customWidth="1"/>
    <col min="15628" max="15874" width="9.140625" style="69"/>
    <col min="15875" max="15875" width="5.7109375" style="69" customWidth="1"/>
    <col min="15876" max="15876" width="31.5703125" style="69" customWidth="1"/>
    <col min="15877" max="15877" width="12.85546875" style="69" customWidth="1"/>
    <col min="15878" max="15878" width="13" style="69" customWidth="1"/>
    <col min="15879" max="15879" width="14.7109375" style="69" customWidth="1"/>
    <col min="15880" max="15880" width="14.7109375" style="69" bestFit="1" customWidth="1"/>
    <col min="15881" max="15883" width="15.85546875" style="69" bestFit="1" customWidth="1"/>
    <col min="15884" max="16130" width="9.140625" style="69"/>
    <col min="16131" max="16131" width="5.7109375" style="69" customWidth="1"/>
    <col min="16132" max="16132" width="31.5703125" style="69" customWidth="1"/>
    <col min="16133" max="16133" width="12.85546875" style="69" customWidth="1"/>
    <col min="16134" max="16134" width="13" style="69" customWidth="1"/>
    <col min="16135" max="16135" width="14.7109375" style="69" customWidth="1"/>
    <col min="16136" max="16136" width="14.7109375" style="69" bestFit="1" customWidth="1"/>
    <col min="16137" max="16139" width="15.85546875" style="69" bestFit="1" customWidth="1"/>
    <col min="16140" max="16384" width="9.140625" style="69"/>
  </cols>
  <sheetData>
    <row r="1" spans="1:12" ht="48" customHeight="1" x14ac:dyDescent="0.2">
      <c r="A1" s="215" t="s">
        <v>358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</row>
    <row r="2" spans="1:12" x14ac:dyDescent="0.2">
      <c r="A2" s="217" t="s">
        <v>326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</row>
    <row r="3" spans="1:12" ht="39.75" customHeight="1" x14ac:dyDescent="0.2">
      <c r="A3" s="70" t="s">
        <v>83</v>
      </c>
      <c r="B3" s="70" t="s">
        <v>130</v>
      </c>
      <c r="C3" s="70" t="s">
        <v>125</v>
      </c>
      <c r="D3" s="70" t="s">
        <v>132</v>
      </c>
      <c r="E3" s="70" t="s">
        <v>142</v>
      </c>
      <c r="F3" s="70" t="s">
        <v>323</v>
      </c>
      <c r="G3" s="70" t="s">
        <v>324</v>
      </c>
      <c r="H3" s="70" t="s">
        <v>341</v>
      </c>
      <c r="I3" s="70" t="s">
        <v>342</v>
      </c>
      <c r="J3" s="70" t="s">
        <v>229</v>
      </c>
      <c r="K3" s="70" t="s">
        <v>228</v>
      </c>
    </row>
    <row r="4" spans="1:12" x14ac:dyDescent="0.2">
      <c r="A4" s="71">
        <v>1</v>
      </c>
      <c r="B4" s="72" t="s">
        <v>143</v>
      </c>
      <c r="C4" s="74" t="s">
        <v>156</v>
      </c>
      <c r="D4" s="131">
        <v>16578</v>
      </c>
      <c r="E4" s="73" t="s">
        <v>147</v>
      </c>
      <c r="F4" s="132">
        <v>1</v>
      </c>
      <c r="G4" s="127">
        <v>10</v>
      </c>
      <c r="H4" s="125">
        <f>'Secretário Sup. Pleno'!D150</f>
        <v>12361.878046818538</v>
      </c>
      <c r="I4" s="125">
        <f>K4/G4</f>
        <v>148342.53656182246</v>
      </c>
      <c r="J4" s="125">
        <f>G4*H4</f>
        <v>123618.78046818537</v>
      </c>
      <c r="K4" s="125">
        <f>J4*12</f>
        <v>1483425.3656182245</v>
      </c>
    </row>
    <row r="5" spans="1:12" x14ac:dyDescent="0.2">
      <c r="A5" s="129">
        <v>2</v>
      </c>
      <c r="B5" s="72" t="s">
        <v>144</v>
      </c>
      <c r="C5" s="124" t="s">
        <v>156</v>
      </c>
      <c r="D5" s="132">
        <v>16578</v>
      </c>
      <c r="E5" s="124" t="s">
        <v>147</v>
      </c>
      <c r="F5" s="132">
        <v>1</v>
      </c>
      <c r="G5" s="128">
        <v>10</v>
      </c>
      <c r="H5" s="126">
        <f>'Secretário Sup. Junhior'!D150</f>
        <v>9668.8932712355654</v>
      </c>
      <c r="I5" s="125">
        <f t="shared" ref="I5:I12" si="0">K5/G5</f>
        <v>116026.71925482681</v>
      </c>
      <c r="J5" s="126">
        <f t="shared" ref="J5:J12" si="1">G5*H5</f>
        <v>96688.932712355658</v>
      </c>
      <c r="K5" s="126">
        <f t="shared" ref="K5:K12" si="2">J5*12</f>
        <v>1160267.192548268</v>
      </c>
    </row>
    <row r="6" spans="1:12" x14ac:dyDescent="0.2">
      <c r="A6" s="129">
        <v>3</v>
      </c>
      <c r="B6" s="72" t="s">
        <v>145</v>
      </c>
      <c r="C6" s="124" t="s">
        <v>129</v>
      </c>
      <c r="D6" s="132">
        <v>5380</v>
      </c>
      <c r="E6" s="124" t="s">
        <v>147</v>
      </c>
      <c r="F6" s="132">
        <v>4</v>
      </c>
      <c r="G6" s="128">
        <v>50</v>
      </c>
      <c r="H6" s="126">
        <f>'Aux. Adm IV'!D150</f>
        <v>8987.4796959339546</v>
      </c>
      <c r="I6" s="125">
        <f t="shared" si="0"/>
        <v>107849.75635120746</v>
      </c>
      <c r="J6" s="126">
        <f t="shared" si="1"/>
        <v>449373.98479669774</v>
      </c>
      <c r="K6" s="126">
        <f>J6*12</f>
        <v>5392487.8175603729</v>
      </c>
    </row>
    <row r="7" spans="1:12" x14ac:dyDescent="0.2">
      <c r="A7" s="129">
        <v>4</v>
      </c>
      <c r="B7" s="72" t="s">
        <v>146</v>
      </c>
      <c r="C7" s="124" t="s">
        <v>151</v>
      </c>
      <c r="D7" s="132">
        <v>25623</v>
      </c>
      <c r="E7" s="124" t="s">
        <v>147</v>
      </c>
      <c r="F7" s="132">
        <v>1</v>
      </c>
      <c r="G7" s="128">
        <v>5</v>
      </c>
      <c r="H7" s="126">
        <f>Encarregado!D150</f>
        <v>6190.085014315172</v>
      </c>
      <c r="I7" s="125">
        <f t="shared" si="0"/>
        <v>74281.020171782075</v>
      </c>
      <c r="J7" s="126">
        <f t="shared" si="1"/>
        <v>30950.425071575861</v>
      </c>
      <c r="K7" s="126">
        <f t="shared" si="2"/>
        <v>371405.10085891036</v>
      </c>
    </row>
    <row r="8" spans="1:12" x14ac:dyDescent="0.2">
      <c r="A8" s="71">
        <v>5</v>
      </c>
      <c r="B8" s="72" t="s">
        <v>85</v>
      </c>
      <c r="C8" s="124" t="s">
        <v>126</v>
      </c>
      <c r="D8" s="132">
        <v>8729</v>
      </c>
      <c r="E8" s="124" t="s">
        <v>147</v>
      </c>
      <c r="F8" s="132">
        <v>2</v>
      </c>
      <c r="G8" s="128">
        <v>8</v>
      </c>
      <c r="H8" s="126">
        <f>'Recepcionista '!D152</f>
        <v>5384.1755683666661</v>
      </c>
      <c r="I8" s="125">
        <f t="shared" si="0"/>
        <v>64610.106820399989</v>
      </c>
      <c r="J8" s="126">
        <f t="shared" si="1"/>
        <v>43073.404546933329</v>
      </c>
      <c r="K8" s="126">
        <f t="shared" si="2"/>
        <v>516880.85456319991</v>
      </c>
    </row>
    <row r="9" spans="1:12" x14ac:dyDescent="0.2">
      <c r="A9" s="129">
        <v>6</v>
      </c>
      <c r="B9" s="72" t="s">
        <v>87</v>
      </c>
      <c r="C9" s="124" t="s">
        <v>128</v>
      </c>
      <c r="D9" s="132">
        <v>5380</v>
      </c>
      <c r="E9" s="124" t="s">
        <v>147</v>
      </c>
      <c r="F9" s="132">
        <v>1</v>
      </c>
      <c r="G9" s="128">
        <v>5</v>
      </c>
      <c r="H9" s="126">
        <f>'mesageiro  '!D153</f>
        <v>4802.9244072660749</v>
      </c>
      <c r="I9" s="125">
        <f t="shared" si="0"/>
        <v>57635.092887192892</v>
      </c>
      <c r="J9" s="126">
        <f t="shared" si="1"/>
        <v>24014.622036330373</v>
      </c>
      <c r="K9" s="126">
        <f t="shared" si="2"/>
        <v>288175.46443596447</v>
      </c>
    </row>
    <row r="10" spans="1:12" x14ac:dyDescent="0.2">
      <c r="A10" s="129">
        <v>7</v>
      </c>
      <c r="B10" s="72" t="s">
        <v>149</v>
      </c>
      <c r="C10" s="124" t="s">
        <v>153</v>
      </c>
      <c r="D10" s="132">
        <v>14907</v>
      </c>
      <c r="E10" s="124" t="s">
        <v>147</v>
      </c>
      <c r="F10" s="132">
        <v>1</v>
      </c>
      <c r="G10" s="128">
        <v>3</v>
      </c>
      <c r="H10" s="126">
        <f>'Almoxarife III'!D153</f>
        <v>5833.9528185458839</v>
      </c>
      <c r="I10" s="125">
        <f t="shared" si="0"/>
        <v>70007.433822550607</v>
      </c>
      <c r="J10" s="126">
        <f t="shared" si="1"/>
        <v>17501.858455637652</v>
      </c>
      <c r="K10" s="126">
        <f t="shared" si="2"/>
        <v>210022.30146765182</v>
      </c>
    </row>
    <row r="11" spans="1:12" x14ac:dyDescent="0.2">
      <c r="A11" s="129">
        <v>8</v>
      </c>
      <c r="B11" s="72" t="s">
        <v>86</v>
      </c>
      <c r="C11" s="124" t="s">
        <v>154</v>
      </c>
      <c r="D11" s="132">
        <v>14397</v>
      </c>
      <c r="E11" s="124" t="s">
        <v>147</v>
      </c>
      <c r="F11" s="132">
        <v>6</v>
      </c>
      <c r="G11" s="128">
        <v>6</v>
      </c>
      <c r="H11" s="126">
        <f>'copeiro '!D152</f>
        <v>4514.5019222718365</v>
      </c>
      <c r="I11" s="125">
        <f t="shared" si="0"/>
        <v>54174.023067262046</v>
      </c>
      <c r="J11" s="126">
        <f t="shared" si="1"/>
        <v>27087.011533631019</v>
      </c>
      <c r="K11" s="126">
        <f t="shared" si="2"/>
        <v>325044.13840357226</v>
      </c>
    </row>
    <row r="12" spans="1:12" x14ac:dyDescent="0.2">
      <c r="A12" s="129">
        <v>9</v>
      </c>
      <c r="B12" s="72" t="s">
        <v>295</v>
      </c>
      <c r="C12" s="124"/>
      <c r="D12" s="132">
        <v>15890</v>
      </c>
      <c r="E12" s="124" t="s">
        <v>147</v>
      </c>
      <c r="F12" s="132">
        <v>1</v>
      </c>
      <c r="G12" s="128">
        <v>6</v>
      </c>
      <c r="H12" s="126">
        <f>carregador!D152</f>
        <v>4546.4066259284846</v>
      </c>
      <c r="I12" s="125">
        <f t="shared" si="0"/>
        <v>54556.879511141822</v>
      </c>
      <c r="J12" s="126">
        <f t="shared" si="1"/>
        <v>27278.439755570907</v>
      </c>
      <c r="K12" s="126">
        <f t="shared" si="2"/>
        <v>327341.27706685092</v>
      </c>
    </row>
    <row r="13" spans="1:12" ht="63.75" x14ac:dyDescent="0.2">
      <c r="A13" s="71">
        <v>10</v>
      </c>
      <c r="B13" s="72" t="s">
        <v>271</v>
      </c>
      <c r="C13" s="72"/>
      <c r="D13" s="132">
        <v>5380</v>
      </c>
      <c r="E13" s="124" t="s">
        <v>168</v>
      </c>
      <c r="F13" s="132">
        <v>0</v>
      </c>
      <c r="G13" s="211">
        <v>77935</v>
      </c>
      <c r="H13" s="126">
        <v>1</v>
      </c>
      <c r="I13" s="125">
        <f>K13/G13</f>
        <v>12</v>
      </c>
      <c r="J13" s="126">
        <f>G13*H13</f>
        <v>77935</v>
      </c>
      <c r="K13" s="126">
        <f>J13*12</f>
        <v>935220</v>
      </c>
    </row>
    <row r="14" spans="1:12" ht="15.75" customHeight="1" x14ac:dyDescent="0.2">
      <c r="A14" s="217" t="s">
        <v>325</v>
      </c>
      <c r="B14" s="217"/>
      <c r="C14" s="217"/>
      <c r="D14" s="217"/>
      <c r="E14" s="217"/>
      <c r="F14" s="217"/>
      <c r="G14" s="217"/>
      <c r="H14" s="217"/>
      <c r="I14" s="187"/>
      <c r="J14" s="130">
        <f>SUM(J4:J13)</f>
        <v>917522.45937691815</v>
      </c>
      <c r="K14" s="130">
        <f>SUM(K4:K13)</f>
        <v>11010269.512523014</v>
      </c>
      <c r="L14" s="167"/>
    </row>
    <row r="15" spans="1:12" ht="17.25" customHeight="1" x14ac:dyDescent="0.2">
      <c r="A15" s="145"/>
      <c r="B15" s="145"/>
      <c r="C15" s="145"/>
      <c r="D15" s="145"/>
      <c r="E15" s="145"/>
      <c r="F15" s="145"/>
      <c r="G15" s="145"/>
      <c r="H15" s="145"/>
      <c r="I15" s="185"/>
      <c r="J15" s="175"/>
      <c r="K15" s="175"/>
    </row>
    <row r="16" spans="1:12" x14ac:dyDescent="0.2">
      <c r="A16" s="215" t="s">
        <v>331</v>
      </c>
      <c r="B16" s="216"/>
      <c r="C16" s="216"/>
      <c r="D16" s="216"/>
      <c r="E16" s="216"/>
      <c r="F16" s="216"/>
      <c r="G16" s="216"/>
      <c r="H16" s="216"/>
      <c r="I16" s="216"/>
      <c r="J16" s="216"/>
      <c r="K16" s="216"/>
    </row>
    <row r="17" spans="1:13" ht="54" x14ac:dyDescent="0.2">
      <c r="A17" s="70" t="s">
        <v>83</v>
      </c>
      <c r="B17" s="70" t="s">
        <v>130</v>
      </c>
      <c r="C17" s="70" t="s">
        <v>125</v>
      </c>
      <c r="D17" s="70" t="s">
        <v>132</v>
      </c>
      <c r="E17" s="70" t="s">
        <v>142</v>
      </c>
      <c r="F17" s="70" t="s">
        <v>323</v>
      </c>
      <c r="G17" s="70" t="s">
        <v>324</v>
      </c>
      <c r="H17" s="70" t="str">
        <f>H3</f>
        <v>VALOR
UNITÁRIO MENSAL DO POSTO</v>
      </c>
      <c r="I17" s="70" t="str">
        <f>I3</f>
        <v>VALOR 
UNITÁRIO ANUAL DO POSTO</v>
      </c>
      <c r="J17" s="70" t="s">
        <v>229</v>
      </c>
      <c r="K17" s="70" t="s">
        <v>228</v>
      </c>
    </row>
    <row r="18" spans="1:13" ht="35.25" customHeight="1" x14ac:dyDescent="0.2">
      <c r="A18" s="129">
        <v>11</v>
      </c>
      <c r="B18" s="72" t="s">
        <v>150</v>
      </c>
      <c r="C18" s="124" t="s">
        <v>155</v>
      </c>
      <c r="D18" s="132">
        <v>15008</v>
      </c>
      <c r="E18" s="124" t="s">
        <v>147</v>
      </c>
      <c r="F18" s="132">
        <v>1</v>
      </c>
      <c r="G18" s="128">
        <v>10</v>
      </c>
      <c r="H18" s="126">
        <f>motorista!D151</f>
        <v>5595.9164447344983</v>
      </c>
      <c r="I18" s="126">
        <f>K18/G18</f>
        <v>67150.997336813976</v>
      </c>
      <c r="J18" s="126">
        <f t="shared" ref="J18" si="3">G18*H18</f>
        <v>55959.164447344985</v>
      </c>
      <c r="K18" s="126">
        <f>J18*12</f>
        <v>671509.97336813982</v>
      </c>
    </row>
    <row r="19" spans="1:13" ht="76.5" x14ac:dyDescent="0.2">
      <c r="A19" s="129">
        <v>12</v>
      </c>
      <c r="B19" s="72" t="s">
        <v>270</v>
      </c>
      <c r="C19" s="72"/>
      <c r="D19" s="132">
        <v>15008</v>
      </c>
      <c r="E19" s="124" t="s">
        <v>168</v>
      </c>
      <c r="F19" s="132">
        <v>0</v>
      </c>
      <c r="G19" s="128">
        <v>10414</v>
      </c>
      <c r="H19" s="126">
        <v>1</v>
      </c>
      <c r="I19" s="126">
        <f>K19/G19</f>
        <v>12</v>
      </c>
      <c r="J19" s="126">
        <f>G19*H19</f>
        <v>10414</v>
      </c>
      <c r="K19" s="126">
        <f>J19*12</f>
        <v>124968</v>
      </c>
    </row>
    <row r="20" spans="1:13" ht="13.5" customHeight="1" x14ac:dyDescent="0.2">
      <c r="A20" s="215" t="s">
        <v>332</v>
      </c>
      <c r="B20" s="216"/>
      <c r="C20" s="216"/>
      <c r="D20" s="216"/>
      <c r="E20" s="216"/>
      <c r="F20" s="216"/>
      <c r="G20" s="216"/>
      <c r="H20" s="216"/>
      <c r="I20" s="186"/>
      <c r="J20" s="130">
        <f>SUM(J18:J19)</f>
        <v>66373.164447344985</v>
      </c>
      <c r="K20" s="130">
        <f>SUM(K18:K19)</f>
        <v>796477.97336813982</v>
      </c>
    </row>
    <row r="22" spans="1:13" x14ac:dyDescent="0.2">
      <c r="A22" s="215" t="s">
        <v>333</v>
      </c>
      <c r="B22" s="216"/>
      <c r="C22" s="216"/>
      <c r="D22" s="216"/>
      <c r="E22" s="216"/>
      <c r="F22" s="216"/>
      <c r="G22" s="216"/>
      <c r="H22" s="216"/>
      <c r="I22" s="216"/>
      <c r="J22" s="216"/>
      <c r="K22" s="216"/>
    </row>
    <row r="23" spans="1:13" ht="54" x14ac:dyDescent="0.2">
      <c r="A23" s="70" t="s">
        <v>83</v>
      </c>
      <c r="B23" s="70" t="s">
        <v>130</v>
      </c>
      <c r="C23" s="70" t="s">
        <v>125</v>
      </c>
      <c r="D23" s="70" t="s">
        <v>132</v>
      </c>
      <c r="E23" s="70" t="s">
        <v>142</v>
      </c>
      <c r="F23" s="70" t="s">
        <v>323</v>
      </c>
      <c r="G23" s="70" t="s">
        <v>324</v>
      </c>
      <c r="H23" s="70" t="str">
        <f>H17</f>
        <v>VALOR
UNITÁRIO MENSAL DO POSTO</v>
      </c>
      <c r="I23" s="70" t="str">
        <f>I17</f>
        <v>VALOR 
UNITÁRIO ANUAL DO POSTO</v>
      </c>
      <c r="J23" s="70" t="s">
        <v>229</v>
      </c>
      <c r="K23" s="70" t="s">
        <v>228</v>
      </c>
    </row>
    <row r="24" spans="1:13" ht="27" customHeight="1" x14ac:dyDescent="0.2">
      <c r="A24" s="129">
        <v>13</v>
      </c>
      <c r="B24" s="72" t="s">
        <v>148</v>
      </c>
      <c r="C24" s="124" t="s">
        <v>152</v>
      </c>
      <c r="D24" s="132">
        <v>24309</v>
      </c>
      <c r="E24" s="124" t="s">
        <v>147</v>
      </c>
      <c r="F24" s="128">
        <v>1</v>
      </c>
      <c r="G24" s="128">
        <v>2</v>
      </c>
      <c r="H24" s="126">
        <f>Jardineiro!D152</f>
        <v>5807.9867720032344</v>
      </c>
      <c r="I24" s="126">
        <f>K24/G24</f>
        <v>69695.841264038812</v>
      </c>
      <c r="J24" s="126">
        <f>G24*H24</f>
        <v>11615.973544006469</v>
      </c>
      <c r="K24" s="126">
        <f t="shared" ref="K24" si="4">J24*12</f>
        <v>139391.68252807762</v>
      </c>
    </row>
    <row r="25" spans="1:13" ht="63.75" x14ac:dyDescent="0.2">
      <c r="A25" s="129">
        <v>14</v>
      </c>
      <c r="B25" s="72" t="s">
        <v>269</v>
      </c>
      <c r="C25" s="72"/>
      <c r="D25" s="132">
        <v>24309</v>
      </c>
      <c r="E25" s="124" t="s">
        <v>168</v>
      </c>
      <c r="F25" s="128">
        <v>0</v>
      </c>
      <c r="G25" s="128">
        <v>5227</v>
      </c>
      <c r="H25" s="126">
        <v>1</v>
      </c>
      <c r="I25" s="126">
        <f>K25/G25</f>
        <v>12</v>
      </c>
      <c r="J25" s="126">
        <f>G25*H25</f>
        <v>5227</v>
      </c>
      <c r="K25" s="125">
        <f>J25*12</f>
        <v>62724</v>
      </c>
      <c r="M25" s="208"/>
    </row>
    <row r="26" spans="1:13" ht="63.75" x14ac:dyDescent="0.2">
      <c r="A26" s="129">
        <v>15</v>
      </c>
      <c r="B26" s="72" t="s">
        <v>271</v>
      </c>
      <c r="C26" s="72"/>
      <c r="D26" s="132">
        <v>24309</v>
      </c>
      <c r="E26" s="124" t="s">
        <v>168</v>
      </c>
      <c r="F26" s="128">
        <v>0</v>
      </c>
      <c r="G26" s="128">
        <v>1073</v>
      </c>
      <c r="H26" s="126">
        <v>1</v>
      </c>
      <c r="I26" s="126">
        <f>K26/G26</f>
        <v>12</v>
      </c>
      <c r="J26" s="126">
        <f>G26*H26</f>
        <v>1073</v>
      </c>
      <c r="K26" s="126">
        <f>J26*12</f>
        <v>12876</v>
      </c>
    </row>
    <row r="27" spans="1:13" ht="13.5" customHeight="1" x14ac:dyDescent="0.2">
      <c r="A27" s="215" t="s">
        <v>336</v>
      </c>
      <c r="B27" s="216"/>
      <c r="C27" s="216"/>
      <c r="D27" s="216"/>
      <c r="E27" s="216"/>
      <c r="F27" s="216"/>
      <c r="G27" s="216"/>
      <c r="H27" s="216"/>
      <c r="I27" s="186"/>
      <c r="J27" s="130">
        <f>SUM(J24:J26)</f>
        <v>17915.973544006469</v>
      </c>
      <c r="K27" s="130">
        <f>SUM(K24:K26)</f>
        <v>214991.68252807762</v>
      </c>
    </row>
    <row r="28" spans="1:13" ht="13.5" customHeight="1" x14ac:dyDescent="0.2">
      <c r="A28" s="209"/>
      <c r="B28" s="210"/>
      <c r="C28" s="210"/>
      <c r="D28" s="210"/>
      <c r="E28" s="210"/>
      <c r="F28" s="210"/>
      <c r="G28" s="210"/>
      <c r="H28" s="210"/>
      <c r="I28" s="210"/>
      <c r="J28" s="152"/>
      <c r="K28" s="152"/>
    </row>
    <row r="29" spans="1:13" ht="13.5" customHeight="1" x14ac:dyDescent="0.2">
      <c r="A29" s="209"/>
      <c r="B29" s="210"/>
      <c r="C29" s="210"/>
      <c r="D29" s="210"/>
      <c r="E29" s="210"/>
      <c r="F29" s="210"/>
      <c r="G29" s="210"/>
      <c r="H29" s="210"/>
      <c r="I29" s="210"/>
      <c r="J29" s="152"/>
      <c r="K29" s="152"/>
    </row>
    <row r="30" spans="1:13" ht="13.5" customHeight="1" x14ac:dyDescent="0.2">
      <c r="A30" s="215" t="s">
        <v>353</v>
      </c>
      <c r="B30" s="216"/>
      <c r="C30" s="216"/>
      <c r="D30" s="216"/>
      <c r="E30" s="216"/>
      <c r="F30" s="216"/>
      <c r="G30" s="216"/>
      <c r="H30" s="216"/>
      <c r="I30" s="216"/>
      <c r="J30" s="216"/>
      <c r="K30" s="216"/>
    </row>
    <row r="31" spans="1:13" ht="47.25" customHeight="1" x14ac:dyDescent="0.2">
      <c r="A31" s="70" t="s">
        <v>83</v>
      </c>
      <c r="B31" s="70" t="s">
        <v>130</v>
      </c>
      <c r="C31" s="70" t="s">
        <v>125</v>
      </c>
      <c r="D31" s="70" t="s">
        <v>132</v>
      </c>
      <c r="E31" s="70" t="s">
        <v>142</v>
      </c>
      <c r="F31" s="70" t="s">
        <v>323</v>
      </c>
      <c r="G31" s="70" t="s">
        <v>324</v>
      </c>
      <c r="H31" s="70" t="str">
        <f>H17</f>
        <v>VALOR
UNITÁRIO MENSAL DO POSTO</v>
      </c>
      <c r="I31" s="70" t="str">
        <f>I17</f>
        <v>VALOR 
UNITÁRIO ANUAL DO POSTO</v>
      </c>
      <c r="J31" s="70" t="s">
        <v>229</v>
      </c>
      <c r="K31" s="70" t="s">
        <v>228</v>
      </c>
    </row>
    <row r="32" spans="1:13" ht="47.25" customHeight="1" x14ac:dyDescent="0.2">
      <c r="A32" s="129">
        <v>16</v>
      </c>
      <c r="B32" s="72" t="s">
        <v>346</v>
      </c>
      <c r="C32" s="124" t="s">
        <v>155</v>
      </c>
      <c r="D32" s="132">
        <v>15857</v>
      </c>
      <c r="E32" s="124" t="s">
        <v>147</v>
      </c>
      <c r="F32" s="132">
        <v>1</v>
      </c>
      <c r="G32" s="128">
        <v>4</v>
      </c>
      <c r="H32" s="126">
        <f>'Técn. Art. Graficas'!D151</f>
        <v>6487.9434501377218</v>
      </c>
      <c r="I32" s="126">
        <f>K32/G32</f>
        <v>77855.321401652662</v>
      </c>
      <c r="J32" s="126">
        <f t="shared" ref="J32" si="5">G32*H32</f>
        <v>25951.773800550887</v>
      </c>
      <c r="K32" s="126">
        <f>J32*12</f>
        <v>311421.28560661065</v>
      </c>
    </row>
    <row r="33" spans="1:11" ht="66" customHeight="1" x14ac:dyDescent="0.2">
      <c r="A33" s="129">
        <v>17</v>
      </c>
      <c r="B33" s="72" t="s">
        <v>271</v>
      </c>
      <c r="C33" s="72"/>
      <c r="D33" s="132">
        <v>15857</v>
      </c>
      <c r="E33" s="124" t="s">
        <v>168</v>
      </c>
      <c r="F33" s="132">
        <v>0</v>
      </c>
      <c r="G33" s="128">
        <v>2595</v>
      </c>
      <c r="H33" s="126">
        <v>1</v>
      </c>
      <c r="I33" s="126">
        <f>K33/G33</f>
        <v>12</v>
      </c>
      <c r="J33" s="126">
        <f>G33*H33</f>
        <v>2595</v>
      </c>
      <c r="K33" s="126">
        <f>J33*12</f>
        <v>31140</v>
      </c>
    </row>
    <row r="34" spans="1:11" ht="13.5" x14ac:dyDescent="0.2">
      <c r="A34" s="215" t="s">
        <v>355</v>
      </c>
      <c r="B34" s="216"/>
      <c r="C34" s="216"/>
      <c r="D34" s="216"/>
      <c r="E34" s="216"/>
      <c r="F34" s="216"/>
      <c r="G34" s="216"/>
      <c r="H34" s="216"/>
      <c r="I34" s="194"/>
      <c r="J34" s="130">
        <f>SUM(J32:J33)</f>
        <v>28546.773800550887</v>
      </c>
      <c r="K34" s="130">
        <f>SUM(K32:K33)</f>
        <v>342561.28560661065</v>
      </c>
    </row>
    <row r="35" spans="1:11" ht="13.5" x14ac:dyDescent="0.2">
      <c r="A35" s="151"/>
      <c r="B35" s="151"/>
      <c r="C35" s="151"/>
      <c r="D35" s="151"/>
      <c r="E35" s="151"/>
      <c r="F35" s="151"/>
      <c r="G35" s="151"/>
      <c r="H35" s="151"/>
      <c r="I35" s="151"/>
      <c r="J35" s="152"/>
      <c r="K35" s="152"/>
    </row>
    <row r="36" spans="1:11" ht="13.5" customHeight="1" x14ac:dyDescent="0.2">
      <c r="A36" s="212" t="s">
        <v>354</v>
      </c>
      <c r="B36" s="213"/>
      <c r="C36" s="213"/>
      <c r="D36" s="213"/>
      <c r="E36" s="213"/>
      <c r="F36" s="213"/>
      <c r="G36" s="213"/>
      <c r="H36" s="213"/>
      <c r="I36" s="184"/>
      <c r="J36" s="174"/>
      <c r="K36" s="154"/>
    </row>
    <row r="37" spans="1:11" ht="55.5" customHeight="1" x14ac:dyDescent="0.2">
      <c r="A37" s="70" t="s">
        <v>83</v>
      </c>
      <c r="B37" s="70" t="s">
        <v>130</v>
      </c>
      <c r="C37" s="70" t="s">
        <v>125</v>
      </c>
      <c r="D37" s="70" t="s">
        <v>132</v>
      </c>
      <c r="E37" s="70" t="s">
        <v>142</v>
      </c>
      <c r="F37" s="70" t="s">
        <v>323</v>
      </c>
      <c r="G37" s="70" t="s">
        <v>324</v>
      </c>
      <c r="H37" s="70" t="s">
        <v>344</v>
      </c>
      <c r="I37" s="70" t="s">
        <v>343</v>
      </c>
    </row>
    <row r="38" spans="1:11" ht="23.25" customHeight="1" x14ac:dyDescent="0.2">
      <c r="A38" s="128">
        <v>18</v>
      </c>
      <c r="B38" s="72" t="s">
        <v>334</v>
      </c>
      <c r="C38" s="72" t="s">
        <v>296</v>
      </c>
      <c r="D38" s="132">
        <v>15890</v>
      </c>
      <c r="E38" s="124" t="s">
        <v>298</v>
      </c>
      <c r="F38" s="129">
        <v>80</v>
      </c>
      <c r="G38" s="129">
        <f>150*3</f>
        <v>450</v>
      </c>
      <c r="H38" s="126">
        <f>'Carregador por diarias'!P3</f>
        <v>286.52</v>
      </c>
      <c r="I38" s="126">
        <f>G38*H38</f>
        <v>128933.99999999999</v>
      </c>
    </row>
    <row r="39" spans="1:11" ht="23.25" customHeight="1" x14ac:dyDescent="0.2">
      <c r="A39" s="128">
        <v>19</v>
      </c>
      <c r="B39" s="72" t="s">
        <v>335</v>
      </c>
      <c r="C39" s="72" t="s">
        <v>299</v>
      </c>
      <c r="D39" s="132">
        <v>17302</v>
      </c>
      <c r="E39" s="124" t="s">
        <v>298</v>
      </c>
      <c r="F39" s="129">
        <v>40</v>
      </c>
      <c r="G39" s="129">
        <f>45*3</f>
        <v>135</v>
      </c>
      <c r="H39" s="126">
        <f>'Carregador por diarias'!P4</f>
        <v>339.38249999999999</v>
      </c>
      <c r="I39" s="126">
        <f>G39*H39</f>
        <v>45816.637499999997</v>
      </c>
    </row>
    <row r="40" spans="1:11" ht="13.5" customHeight="1" x14ac:dyDescent="0.2">
      <c r="A40" s="214" t="s">
        <v>356</v>
      </c>
      <c r="B40" s="214"/>
      <c r="C40" s="214"/>
      <c r="D40" s="214"/>
      <c r="E40" s="214"/>
      <c r="F40" s="214"/>
      <c r="G40" s="214"/>
      <c r="H40" s="214"/>
      <c r="I40" s="130">
        <f>SUM(I38:I39)</f>
        <v>174750.63749999998</v>
      </c>
      <c r="J40" s="152"/>
    </row>
    <row r="41" spans="1:11" ht="13.5" x14ac:dyDescent="0.2">
      <c r="A41" s="151"/>
      <c r="B41" s="151"/>
      <c r="C41" s="151"/>
      <c r="D41" s="151"/>
      <c r="E41" s="151"/>
      <c r="F41" s="151"/>
      <c r="G41" s="151"/>
      <c r="H41" s="151"/>
      <c r="I41" s="151"/>
      <c r="J41" s="152"/>
      <c r="K41" s="152"/>
    </row>
    <row r="43" spans="1:11" ht="13.5" customHeight="1" x14ac:dyDescent="0.2">
      <c r="A43" s="214" t="s">
        <v>357</v>
      </c>
      <c r="B43" s="214"/>
      <c r="C43" s="214"/>
      <c r="D43" s="214"/>
      <c r="E43" s="214"/>
      <c r="F43" s="214"/>
      <c r="G43" s="214"/>
      <c r="H43" s="214"/>
      <c r="I43" s="130">
        <f>K14+K20+K27+K34+I40</f>
        <v>12539051.091525842</v>
      </c>
    </row>
  </sheetData>
  <mergeCells count="12">
    <mergeCell ref="A36:H36"/>
    <mergeCell ref="A40:H40"/>
    <mergeCell ref="A43:H43"/>
    <mergeCell ref="A1:K1"/>
    <mergeCell ref="A27:H27"/>
    <mergeCell ref="A2:K2"/>
    <mergeCell ref="A14:H14"/>
    <mergeCell ref="A16:K16"/>
    <mergeCell ref="A20:H20"/>
    <mergeCell ref="A22:K22"/>
    <mergeCell ref="A30:K30"/>
    <mergeCell ref="A34:H34"/>
  </mergeCells>
  <pageMargins left="0.511811024" right="0.511811024" top="0.78740157499999996" bottom="0.78740157499999996" header="0.31496062000000002" footer="0.31496062000000002"/>
  <pageSetup paperSize="9" scale="5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273D47-26B4-468D-BE6C-E3B0FF06FCD0}">
  <sheetPr>
    <pageSetUpPr fitToPage="1"/>
  </sheetPr>
  <dimension ref="A1:G153"/>
  <sheetViews>
    <sheetView showGridLines="0" view="pageBreakPreview" topLeftCell="A130" zoomScaleNormal="115" zoomScaleSheetLayoutView="100" workbookViewId="0">
      <selection activeCell="A134" sqref="A134:D134"/>
    </sheetView>
  </sheetViews>
  <sheetFormatPr defaultColWidth="9.140625" defaultRowHeight="15.75" x14ac:dyDescent="0.25"/>
  <cols>
    <col min="1" max="1" width="9.140625" style="8"/>
    <col min="2" max="2" width="72.140625" style="8" customWidth="1"/>
    <col min="3" max="3" width="20" style="8" customWidth="1"/>
    <col min="4" max="4" width="19" style="8" customWidth="1"/>
    <col min="5" max="5" width="12.7109375" style="8" hidden="1" customWidth="1"/>
    <col min="6" max="6" width="38.42578125" style="8" customWidth="1"/>
    <col min="7" max="7" width="15.140625" style="8" customWidth="1"/>
    <col min="8" max="16384" width="9.140625" style="8"/>
  </cols>
  <sheetData>
    <row r="1" spans="1:4" ht="23.25" x14ac:dyDescent="0.35">
      <c r="A1" s="232" t="s">
        <v>79</v>
      </c>
      <c r="B1" s="232"/>
      <c r="C1" s="232"/>
      <c r="D1" s="232"/>
    </row>
    <row r="2" spans="1:4" ht="23.25" x14ac:dyDescent="0.35">
      <c r="A2" s="232" t="s">
        <v>80</v>
      </c>
      <c r="B2" s="232"/>
      <c r="C2" s="232"/>
      <c r="D2" s="232"/>
    </row>
    <row r="3" spans="1:4" x14ac:dyDescent="0.25">
      <c r="A3" s="233" t="s">
        <v>81</v>
      </c>
      <c r="B3" s="233"/>
      <c r="C3" s="233"/>
      <c r="D3" s="233"/>
    </row>
    <row r="4" spans="1:4" x14ac:dyDescent="0.25">
      <c r="A4" s="67"/>
      <c r="B4" s="67"/>
      <c r="C4" s="67"/>
      <c r="D4" s="67"/>
    </row>
    <row r="5" spans="1:4" x14ac:dyDescent="0.25">
      <c r="A5" s="235" t="s">
        <v>135</v>
      </c>
      <c r="B5" s="235"/>
      <c r="C5" s="235"/>
      <c r="D5" s="235"/>
    </row>
    <row r="6" spans="1:4" x14ac:dyDescent="0.25">
      <c r="A6" s="26" t="s">
        <v>14</v>
      </c>
      <c r="B6" s="62" t="s">
        <v>137</v>
      </c>
      <c r="C6" s="224" t="s">
        <v>294</v>
      </c>
      <c r="D6" s="225"/>
    </row>
    <row r="7" spans="1:4" x14ac:dyDescent="0.25">
      <c r="A7" s="26" t="s">
        <v>16</v>
      </c>
      <c r="B7" s="62" t="s">
        <v>141</v>
      </c>
      <c r="C7" s="224" t="s">
        <v>153</v>
      </c>
      <c r="D7" s="225"/>
    </row>
    <row r="8" spans="1:4" x14ac:dyDescent="0.25">
      <c r="A8" s="26" t="s">
        <v>18</v>
      </c>
      <c r="B8" s="62" t="s">
        <v>140</v>
      </c>
      <c r="C8" s="222">
        <v>2189.5189999999998</v>
      </c>
      <c r="D8" s="240"/>
    </row>
    <row r="9" spans="1:4" x14ac:dyDescent="0.25">
      <c r="A9" s="26" t="s">
        <v>20</v>
      </c>
      <c r="B9" s="62" t="s">
        <v>138</v>
      </c>
      <c r="C9" s="224" t="s">
        <v>340</v>
      </c>
      <c r="D9" s="225"/>
    </row>
    <row r="10" spans="1:4" x14ac:dyDescent="0.25">
      <c r="A10" s="26" t="s">
        <v>21</v>
      </c>
      <c r="B10" s="62" t="s">
        <v>139</v>
      </c>
      <c r="C10" s="230">
        <v>45658</v>
      </c>
      <c r="D10" s="225"/>
    </row>
    <row r="11" spans="1:4" x14ac:dyDescent="0.25">
      <c r="A11" s="26" t="s">
        <v>23</v>
      </c>
      <c r="B11" s="62" t="s">
        <v>136</v>
      </c>
      <c r="C11" s="224">
        <v>12</v>
      </c>
      <c r="D11" s="225"/>
    </row>
    <row r="12" spans="1:4" x14ac:dyDescent="0.25">
      <c r="A12" s="67"/>
      <c r="B12" s="67"/>
      <c r="C12" s="67"/>
      <c r="D12" s="67"/>
    </row>
    <row r="13" spans="1:4" x14ac:dyDescent="0.25">
      <c r="A13" s="67"/>
      <c r="B13" s="67"/>
      <c r="C13" s="67"/>
      <c r="D13" s="67"/>
    </row>
    <row r="14" spans="1:4" x14ac:dyDescent="0.25">
      <c r="A14" s="67"/>
      <c r="B14" s="67"/>
      <c r="C14" s="67"/>
      <c r="D14" s="67"/>
    </row>
    <row r="15" spans="1:4" ht="6" customHeight="1" x14ac:dyDescent="0.25"/>
    <row r="16" spans="1:4" x14ac:dyDescent="0.25">
      <c r="A16" s="234" t="s">
        <v>11</v>
      </c>
      <c r="B16" s="234"/>
      <c r="C16" s="234"/>
      <c r="D16" s="234"/>
    </row>
    <row r="18" spans="1:4" x14ac:dyDescent="0.25">
      <c r="A18" s="66">
        <v>1</v>
      </c>
      <c r="B18" s="66" t="s">
        <v>12</v>
      </c>
      <c r="C18" s="18"/>
      <c r="D18" s="66" t="s">
        <v>13</v>
      </c>
    </row>
    <row r="19" spans="1:4" ht="16.5" thickBot="1" x14ac:dyDescent="0.3">
      <c r="A19" s="26" t="s">
        <v>14</v>
      </c>
      <c r="B19" s="27" t="s">
        <v>15</v>
      </c>
      <c r="C19" s="18"/>
      <c r="D19" s="76">
        <f>C8</f>
        <v>2189.5189999999998</v>
      </c>
    </row>
    <row r="20" spans="1:4" x14ac:dyDescent="0.25">
      <c r="A20" s="26" t="s">
        <v>16</v>
      </c>
      <c r="B20" s="27" t="s">
        <v>17</v>
      </c>
      <c r="C20" s="18"/>
      <c r="D20" s="22"/>
    </row>
    <row r="21" spans="1:4" x14ac:dyDescent="0.25">
      <c r="A21" s="26" t="s">
        <v>18</v>
      </c>
      <c r="B21" s="27" t="s">
        <v>19</v>
      </c>
      <c r="C21" s="18"/>
      <c r="D21" s="22"/>
    </row>
    <row r="22" spans="1:4" x14ac:dyDescent="0.25">
      <c r="A22" s="26" t="s">
        <v>20</v>
      </c>
      <c r="B22" s="27" t="s">
        <v>0</v>
      </c>
      <c r="C22" s="18"/>
      <c r="D22" s="22"/>
    </row>
    <row r="23" spans="1:4" x14ac:dyDescent="0.25">
      <c r="A23" s="26" t="s">
        <v>21</v>
      </c>
      <c r="B23" s="27" t="s">
        <v>22</v>
      </c>
      <c r="C23" s="18"/>
      <c r="D23" s="22"/>
    </row>
    <row r="24" spans="1:4" x14ac:dyDescent="0.25">
      <c r="A24" s="26"/>
      <c r="B24" s="27"/>
      <c r="C24" s="18"/>
      <c r="D24" s="22"/>
    </row>
    <row r="25" spans="1:4" x14ac:dyDescent="0.25">
      <c r="A25" s="26" t="s">
        <v>24</v>
      </c>
      <c r="B25" s="27" t="s">
        <v>25</v>
      </c>
      <c r="C25" s="18"/>
      <c r="D25" s="22"/>
    </row>
    <row r="26" spans="1:4" x14ac:dyDescent="0.25">
      <c r="A26" s="219" t="s">
        <v>1</v>
      </c>
      <c r="B26" s="219"/>
      <c r="C26" s="18"/>
      <c r="D26" s="75">
        <f>SUM(D19:D25)</f>
        <v>2189.5189999999998</v>
      </c>
    </row>
    <row r="28" spans="1:4" ht="5.45" customHeight="1" x14ac:dyDescent="0.25"/>
    <row r="29" spans="1:4" x14ac:dyDescent="0.25">
      <c r="A29" s="229" t="s">
        <v>26</v>
      </c>
      <c r="B29" s="229"/>
      <c r="C29" s="229"/>
      <c r="D29" s="229"/>
    </row>
    <row r="30" spans="1:4" x14ac:dyDescent="0.25">
      <c r="A30" s="2"/>
    </row>
    <row r="31" spans="1:4" x14ac:dyDescent="0.25">
      <c r="A31" s="228" t="s">
        <v>27</v>
      </c>
      <c r="B31" s="228"/>
      <c r="C31" s="228"/>
      <c r="D31" s="228"/>
    </row>
    <row r="32" spans="1:4" ht="16.5" thickBot="1" x14ac:dyDescent="0.3"/>
    <row r="33" spans="1:4" ht="16.5" thickBot="1" x14ac:dyDescent="0.3">
      <c r="A33" s="3" t="s">
        <v>28</v>
      </c>
      <c r="B33" s="68" t="s">
        <v>29</v>
      </c>
      <c r="C33" s="20" t="s">
        <v>91</v>
      </c>
      <c r="D33" s="21" t="s">
        <v>13</v>
      </c>
    </row>
    <row r="34" spans="1:4" ht="16.5" thickBot="1" x14ac:dyDescent="0.3">
      <c r="A34" s="4" t="s">
        <v>14</v>
      </c>
      <c r="B34" s="19" t="s">
        <v>30</v>
      </c>
      <c r="C34" s="23">
        <f>1/12</f>
        <v>8.3333333333333329E-2</v>
      </c>
      <c r="D34" s="22">
        <f>C34*D26</f>
        <v>182.45991666666663</v>
      </c>
    </row>
    <row r="35" spans="1:4" ht="16.5" thickBot="1" x14ac:dyDescent="0.3">
      <c r="A35" s="4" t="s">
        <v>16</v>
      </c>
      <c r="B35" s="19" t="s">
        <v>31</v>
      </c>
      <c r="C35" s="24">
        <f>1/12+1/12*1/3</f>
        <v>0.1111111111111111</v>
      </c>
      <c r="D35" s="22">
        <f>D26*C35</f>
        <v>243.27988888888885</v>
      </c>
    </row>
    <row r="36" spans="1:4" ht="16.5" thickBot="1" x14ac:dyDescent="0.3">
      <c r="A36" s="220" t="s">
        <v>1</v>
      </c>
      <c r="B36" s="227"/>
      <c r="C36" s="23">
        <f>SUM(C34:C35)</f>
        <v>0.19444444444444442</v>
      </c>
      <c r="D36" s="22">
        <f>SUM(D34:D35)</f>
        <v>425.73980555555545</v>
      </c>
    </row>
    <row r="37" spans="1:4" ht="3" customHeight="1" x14ac:dyDescent="0.25"/>
    <row r="38" spans="1:4" ht="62.45" customHeight="1" x14ac:dyDescent="0.25">
      <c r="A38" s="226" t="s">
        <v>92</v>
      </c>
      <c r="B38" s="226"/>
      <c r="C38" s="226"/>
      <c r="D38" s="226"/>
    </row>
    <row r="39" spans="1:4" ht="56.45" customHeight="1" x14ac:dyDescent="0.25">
      <c r="A39" s="226" t="s">
        <v>93</v>
      </c>
      <c r="B39" s="226"/>
      <c r="C39" s="226"/>
      <c r="D39" s="226"/>
    </row>
    <row r="40" spans="1:4" ht="65.45" customHeight="1" x14ac:dyDescent="0.25">
      <c r="A40" s="226" t="s">
        <v>94</v>
      </c>
      <c r="B40" s="226"/>
      <c r="C40" s="226"/>
      <c r="D40" s="226"/>
    </row>
    <row r="41" spans="1:4" ht="3.6" customHeight="1" x14ac:dyDescent="0.25"/>
    <row r="42" spans="1:4" ht="32.25" customHeight="1" x14ac:dyDescent="0.25">
      <c r="A42" s="231" t="s">
        <v>32</v>
      </c>
      <c r="B42" s="231"/>
      <c r="C42" s="231"/>
      <c r="D42" s="231"/>
    </row>
    <row r="43" spans="1:4" ht="16.5" thickBot="1" x14ac:dyDescent="0.3"/>
    <row r="44" spans="1:4" ht="16.5" thickBot="1" x14ac:dyDescent="0.3">
      <c r="A44" s="3" t="s">
        <v>33</v>
      </c>
      <c r="B44" s="65" t="s">
        <v>34</v>
      </c>
      <c r="C44" s="65" t="s">
        <v>35</v>
      </c>
      <c r="D44" s="65" t="s">
        <v>13</v>
      </c>
    </row>
    <row r="45" spans="1:4" ht="16.5" thickBot="1" x14ac:dyDescent="0.3">
      <c r="A45" s="4" t="s">
        <v>14</v>
      </c>
      <c r="B45" s="5" t="s">
        <v>36</v>
      </c>
      <c r="C45" s="6">
        <v>0.2</v>
      </c>
      <c r="D45" s="11">
        <f t="shared" ref="D45:D52" si="0">($D$26+$D$36)*C45</f>
        <v>523.05176111111109</v>
      </c>
    </row>
    <row r="46" spans="1:4" ht="16.5" thickBot="1" x14ac:dyDescent="0.3">
      <c r="A46" s="4" t="s">
        <v>16</v>
      </c>
      <c r="B46" s="5" t="s">
        <v>37</v>
      </c>
      <c r="C46" s="6">
        <v>2.5000000000000001E-2</v>
      </c>
      <c r="D46" s="11">
        <f t="shared" si="0"/>
        <v>65.381470138888886</v>
      </c>
    </row>
    <row r="47" spans="1:4" ht="16.5" thickBot="1" x14ac:dyDescent="0.3">
      <c r="A47" s="4" t="s">
        <v>18</v>
      </c>
      <c r="B47" s="5" t="s">
        <v>38</v>
      </c>
      <c r="C47" s="13">
        <v>0.03</v>
      </c>
      <c r="D47" s="11">
        <f t="shared" si="0"/>
        <v>78.457764166666649</v>
      </c>
    </row>
    <row r="48" spans="1:4" ht="16.5" thickBot="1" x14ac:dyDescent="0.3">
      <c r="A48" s="4" t="s">
        <v>20</v>
      </c>
      <c r="B48" s="5" t="s">
        <v>39</v>
      </c>
      <c r="C48" s="6">
        <v>1.4999999999999999E-2</v>
      </c>
      <c r="D48" s="11">
        <f t="shared" si="0"/>
        <v>39.228882083333325</v>
      </c>
    </row>
    <row r="49" spans="1:4" ht="16.5" thickBot="1" x14ac:dyDescent="0.3">
      <c r="A49" s="4" t="s">
        <v>21</v>
      </c>
      <c r="B49" s="5" t="s">
        <v>40</v>
      </c>
      <c r="C49" s="6">
        <v>0.01</v>
      </c>
      <c r="D49" s="11">
        <f t="shared" si="0"/>
        <v>26.152588055555555</v>
      </c>
    </row>
    <row r="50" spans="1:4" ht="16.5" thickBot="1" x14ac:dyDescent="0.3">
      <c r="A50" s="4" t="s">
        <v>23</v>
      </c>
      <c r="B50" s="5" t="s">
        <v>3</v>
      </c>
      <c r="C50" s="6">
        <v>6.0000000000000001E-3</v>
      </c>
      <c r="D50" s="11">
        <f t="shared" si="0"/>
        <v>15.691552833333331</v>
      </c>
    </row>
    <row r="51" spans="1:4" ht="16.5" thickBot="1" x14ac:dyDescent="0.3">
      <c r="A51" s="4" t="s">
        <v>24</v>
      </c>
      <c r="B51" s="5" t="s">
        <v>4</v>
      </c>
      <c r="C51" s="6">
        <v>2E-3</v>
      </c>
      <c r="D51" s="11">
        <f t="shared" si="0"/>
        <v>5.2305176111111109</v>
      </c>
    </row>
    <row r="52" spans="1:4" ht="16.5" thickBot="1" x14ac:dyDescent="0.3">
      <c r="A52" s="4" t="s">
        <v>41</v>
      </c>
      <c r="B52" s="5" t="s">
        <v>5</v>
      </c>
      <c r="C52" s="6">
        <v>0.08</v>
      </c>
      <c r="D52" s="11">
        <f t="shared" si="0"/>
        <v>209.22070444444444</v>
      </c>
    </row>
    <row r="53" spans="1:4" ht="16.5" thickBot="1" x14ac:dyDescent="0.3">
      <c r="A53" s="220" t="s">
        <v>42</v>
      </c>
      <c r="B53" s="221"/>
      <c r="C53" s="6">
        <f>SUM(C45:C52)</f>
        <v>0.36800000000000005</v>
      </c>
      <c r="D53" s="11">
        <f>SUM(D45:D52)</f>
        <v>962.41524044444441</v>
      </c>
    </row>
    <row r="54" spans="1:4" ht="7.9" customHeight="1" x14ac:dyDescent="0.25"/>
    <row r="55" spans="1:4" ht="30.6" customHeight="1" x14ac:dyDescent="0.25">
      <c r="A55" s="226" t="s">
        <v>95</v>
      </c>
      <c r="B55" s="226"/>
      <c r="C55" s="226"/>
      <c r="D55" s="226"/>
    </row>
    <row r="56" spans="1:4" ht="37.15" customHeight="1" x14ac:dyDescent="0.25">
      <c r="A56" s="226" t="s">
        <v>96</v>
      </c>
      <c r="B56" s="226"/>
      <c r="C56" s="226"/>
      <c r="D56" s="226"/>
    </row>
    <row r="57" spans="1:4" ht="37.15" customHeight="1" x14ac:dyDescent="0.25">
      <c r="A57" s="226" t="s">
        <v>97</v>
      </c>
      <c r="B57" s="226"/>
      <c r="C57" s="226"/>
      <c r="D57" s="226"/>
    </row>
    <row r="58" spans="1:4" ht="6" customHeight="1" x14ac:dyDescent="0.25"/>
    <row r="59" spans="1:4" x14ac:dyDescent="0.25">
      <c r="A59" s="228" t="s">
        <v>43</v>
      </c>
      <c r="B59" s="228"/>
      <c r="C59" s="228"/>
      <c r="D59" s="228"/>
    </row>
    <row r="60" spans="1:4" ht="16.5" thickBot="1" x14ac:dyDescent="0.3"/>
    <row r="61" spans="1:4" ht="16.5" thickBot="1" x14ac:dyDescent="0.3">
      <c r="A61" s="66" t="s">
        <v>44</v>
      </c>
      <c r="B61" s="66" t="s">
        <v>45</v>
      </c>
      <c r="C61" s="65"/>
      <c r="D61" s="66" t="s">
        <v>13</v>
      </c>
    </row>
    <row r="62" spans="1:4" x14ac:dyDescent="0.25">
      <c r="A62" s="26" t="s">
        <v>14</v>
      </c>
      <c r="B62" s="27" t="s">
        <v>293</v>
      </c>
      <c r="C62" s="18"/>
      <c r="D62" s="22">
        <f>(4.6*22*2)-(D19*6%)</f>
        <v>71.028860000000009</v>
      </c>
    </row>
    <row r="63" spans="1:4" x14ac:dyDescent="0.25">
      <c r="A63" s="26" t="s">
        <v>16</v>
      </c>
      <c r="B63" s="27" t="s">
        <v>288</v>
      </c>
      <c r="C63" s="18"/>
      <c r="D63" s="22">
        <f>26.7*22-(0.1*26.7*22)</f>
        <v>528.66</v>
      </c>
    </row>
    <row r="64" spans="1:4" x14ac:dyDescent="0.25">
      <c r="A64" s="26" t="s">
        <v>18</v>
      </c>
      <c r="B64" s="27" t="s">
        <v>88</v>
      </c>
      <c r="C64" s="18"/>
      <c r="D64" s="22">
        <v>6</v>
      </c>
    </row>
    <row r="65" spans="1:4" x14ac:dyDescent="0.25">
      <c r="A65" s="26" t="s">
        <v>20</v>
      </c>
      <c r="B65" s="27" t="s">
        <v>158</v>
      </c>
      <c r="C65" s="18"/>
      <c r="D65" s="22">
        <v>19.899999999999999</v>
      </c>
    </row>
    <row r="66" spans="1:4" x14ac:dyDescent="0.25">
      <c r="A66" s="219" t="s">
        <v>1</v>
      </c>
      <c r="B66" s="219"/>
      <c r="C66" s="18"/>
      <c r="D66" s="22">
        <f>SUM(D62:D65)</f>
        <v>625.58885999999995</v>
      </c>
    </row>
    <row r="69" spans="1:4" x14ac:dyDescent="0.25">
      <c r="A69" s="228" t="s">
        <v>46</v>
      </c>
      <c r="B69" s="228"/>
      <c r="C69" s="228"/>
      <c r="D69" s="228"/>
    </row>
    <row r="70" spans="1:4" ht="16.5" thickBot="1" x14ac:dyDescent="0.3"/>
    <row r="71" spans="1:4" ht="16.5" thickBot="1" x14ac:dyDescent="0.3">
      <c r="A71" s="66">
        <v>2</v>
      </c>
      <c r="B71" s="66" t="s">
        <v>47</v>
      </c>
      <c r="C71" s="65" t="s">
        <v>35</v>
      </c>
      <c r="D71" s="66" t="s">
        <v>13</v>
      </c>
    </row>
    <row r="72" spans="1:4" x14ac:dyDescent="0.25">
      <c r="A72" s="26" t="s">
        <v>28</v>
      </c>
      <c r="B72" s="27" t="s">
        <v>29</v>
      </c>
      <c r="C72" s="18"/>
      <c r="D72" s="22">
        <f>D36</f>
        <v>425.73980555555545</v>
      </c>
    </row>
    <row r="73" spans="1:4" x14ac:dyDescent="0.25">
      <c r="A73" s="26" t="s">
        <v>33</v>
      </c>
      <c r="B73" s="27" t="s">
        <v>34</v>
      </c>
      <c r="C73" s="18"/>
      <c r="D73" s="22">
        <f>D53</f>
        <v>962.41524044444441</v>
      </c>
    </row>
    <row r="74" spans="1:4" x14ac:dyDescent="0.25">
      <c r="A74" s="26" t="s">
        <v>44</v>
      </c>
      <c r="B74" s="27" t="s">
        <v>45</v>
      </c>
      <c r="C74" s="18"/>
      <c r="D74" s="22">
        <f>D66</f>
        <v>625.58885999999995</v>
      </c>
    </row>
    <row r="75" spans="1:4" x14ac:dyDescent="0.25">
      <c r="A75" s="219" t="s">
        <v>1</v>
      </c>
      <c r="B75" s="219"/>
      <c r="C75" s="18"/>
      <c r="D75" s="29">
        <f>SUM(D72:D74)</f>
        <v>2013.7439059999997</v>
      </c>
    </row>
    <row r="76" spans="1:4" x14ac:dyDescent="0.25">
      <c r="A76" s="1"/>
    </row>
    <row r="78" spans="1:4" x14ac:dyDescent="0.25">
      <c r="A78" s="229" t="s">
        <v>48</v>
      </c>
      <c r="B78" s="229"/>
      <c r="C78" s="229"/>
      <c r="D78" s="229"/>
    </row>
    <row r="79" spans="1:4" ht="16.5" thickBot="1" x14ac:dyDescent="0.3"/>
    <row r="80" spans="1:4" ht="16.5" thickBot="1" x14ac:dyDescent="0.3">
      <c r="A80" s="66">
        <v>3</v>
      </c>
      <c r="B80" s="66" t="s">
        <v>49</v>
      </c>
      <c r="C80" s="65" t="s">
        <v>35</v>
      </c>
      <c r="D80" s="66" t="s">
        <v>13</v>
      </c>
    </row>
    <row r="81" spans="1:4" x14ac:dyDescent="0.25">
      <c r="A81" s="26" t="s">
        <v>14</v>
      </c>
      <c r="B81" s="28" t="s">
        <v>50</v>
      </c>
      <c r="C81" s="24">
        <f>'Media de custo com mão de obra'!T5</f>
        <v>4.1999999999999997E-3</v>
      </c>
      <c r="D81" s="22">
        <f>C81*$D$26</f>
        <v>9.1959797999999981</v>
      </c>
    </row>
    <row r="82" spans="1:4" x14ac:dyDescent="0.25">
      <c r="A82" s="26" t="s">
        <v>16</v>
      </c>
      <c r="B82" s="28" t="s">
        <v>51</v>
      </c>
      <c r="C82" s="24">
        <f>C81*C52</f>
        <v>3.3599999999999998E-4</v>
      </c>
      <c r="D82" s="22">
        <f t="shared" ref="D82:D86" si="1">C82*$D$26</f>
        <v>0.73567838399999985</v>
      </c>
    </row>
    <row r="83" spans="1:4" x14ac:dyDescent="0.25">
      <c r="A83" s="26" t="s">
        <v>18</v>
      </c>
      <c r="B83" s="28" t="s">
        <v>52</v>
      </c>
      <c r="C83" s="24">
        <v>0.02</v>
      </c>
      <c r="D83" s="22">
        <f t="shared" si="1"/>
        <v>43.790379999999999</v>
      </c>
    </row>
    <row r="84" spans="1:4" x14ac:dyDescent="0.25">
      <c r="A84" s="26" t="s">
        <v>20</v>
      </c>
      <c r="B84" s="28" t="s">
        <v>53</v>
      </c>
      <c r="C84" s="24">
        <f>'Media de custo com mão de obra'!T6</f>
        <v>1.9400000000000001E-2</v>
      </c>
      <c r="D84" s="22">
        <f t="shared" si="1"/>
        <v>42.476668599999996</v>
      </c>
    </row>
    <row r="85" spans="1:4" x14ac:dyDescent="0.25">
      <c r="A85" s="26" t="s">
        <v>21</v>
      </c>
      <c r="B85" s="28" t="s">
        <v>54</v>
      </c>
      <c r="C85" s="24">
        <f>C84*C53</f>
        <v>7.1392000000000009E-3</v>
      </c>
      <c r="D85" s="22">
        <f t="shared" si="1"/>
        <v>15.6314140448</v>
      </c>
    </row>
    <row r="86" spans="1:4" x14ac:dyDescent="0.25">
      <c r="A86" s="26" t="s">
        <v>23</v>
      </c>
      <c r="B86" s="28" t="s">
        <v>55</v>
      </c>
      <c r="C86" s="24">
        <v>0.02</v>
      </c>
      <c r="D86" s="22">
        <f t="shared" si="1"/>
        <v>43.790379999999999</v>
      </c>
    </row>
    <row r="87" spans="1:4" x14ac:dyDescent="0.25">
      <c r="A87" s="219" t="s">
        <v>1</v>
      </c>
      <c r="B87" s="219"/>
      <c r="C87" s="23">
        <f>SUM(C81:C86)</f>
        <v>7.1075200000000005E-2</v>
      </c>
      <c r="D87" s="22">
        <f>SUM(D81:D86)</f>
        <v>155.6205008288</v>
      </c>
    </row>
    <row r="90" spans="1:4" x14ac:dyDescent="0.25">
      <c r="A90" s="229" t="s">
        <v>56</v>
      </c>
      <c r="B90" s="229"/>
      <c r="C90" s="229"/>
      <c r="D90" s="229"/>
    </row>
    <row r="93" spans="1:4" x14ac:dyDescent="0.25">
      <c r="A93" s="228" t="s">
        <v>57</v>
      </c>
      <c r="B93" s="228"/>
      <c r="C93" s="228"/>
      <c r="D93" s="228"/>
    </row>
    <row r="94" spans="1:4" ht="16.5" thickBot="1" x14ac:dyDescent="0.3">
      <c r="A94" s="2"/>
    </row>
    <row r="95" spans="1:4" ht="16.5" thickBot="1" x14ac:dyDescent="0.3">
      <c r="A95" s="66" t="s">
        <v>58</v>
      </c>
      <c r="B95" s="66" t="s">
        <v>59</v>
      </c>
      <c r="C95" s="65" t="s">
        <v>35</v>
      </c>
      <c r="D95" s="66" t="s">
        <v>13</v>
      </c>
    </row>
    <row r="96" spans="1:4" x14ac:dyDescent="0.25">
      <c r="A96" s="26" t="s">
        <v>14</v>
      </c>
      <c r="B96" s="27" t="s">
        <v>2</v>
      </c>
      <c r="C96" s="32">
        <f>D96/D26</f>
        <v>0.14434406230681512</v>
      </c>
      <c r="D96" s="22">
        <f>'Custo de Substitução nas Ferias'!L13</f>
        <v>316.04406695795552</v>
      </c>
    </row>
    <row r="97" spans="1:4" x14ac:dyDescent="0.25">
      <c r="A97" s="26" t="s">
        <v>16</v>
      </c>
      <c r="B97" s="27" t="s">
        <v>59</v>
      </c>
      <c r="C97" s="32">
        <f>'Media de custo com mão de obra'!T8</f>
        <v>6.0999999999999995E-3</v>
      </c>
      <c r="D97" s="22">
        <f>C97*$D$26</f>
        <v>13.356065899999997</v>
      </c>
    </row>
    <row r="98" spans="1:4" x14ac:dyDescent="0.25">
      <c r="A98" s="26" t="s">
        <v>18</v>
      </c>
      <c r="B98" s="27" t="s">
        <v>60</v>
      </c>
      <c r="C98" s="32">
        <f>'Media de custo com mão de obra'!T9</f>
        <v>2.5000000000000001E-4</v>
      </c>
      <c r="D98" s="22">
        <f t="shared" ref="D98:D101" si="2">C98*$D$26</f>
        <v>0.54737974999999994</v>
      </c>
    </row>
    <row r="99" spans="1:4" x14ac:dyDescent="0.25">
      <c r="A99" s="26" t="s">
        <v>20</v>
      </c>
      <c r="B99" s="27" t="s">
        <v>61</v>
      </c>
      <c r="C99" s="32">
        <f>'Media de custo com mão de obra'!T10</f>
        <v>2.0499999999999997E-3</v>
      </c>
      <c r="D99" s="22">
        <f t="shared" si="2"/>
        <v>4.4885139499999989</v>
      </c>
    </row>
    <row r="100" spans="1:4" x14ac:dyDescent="0.25">
      <c r="A100" s="26" t="s">
        <v>21</v>
      </c>
      <c r="B100" s="27" t="s">
        <v>62</v>
      </c>
      <c r="C100" s="32">
        <f>'Media de custo com mão de obra'!T11</f>
        <v>5.9999999999999995E-4</v>
      </c>
      <c r="D100" s="22">
        <f t="shared" si="2"/>
        <v>1.3137113999999999</v>
      </c>
    </row>
    <row r="101" spans="1:4" x14ac:dyDescent="0.25">
      <c r="A101" s="26" t="s">
        <v>23</v>
      </c>
      <c r="B101" s="27" t="s">
        <v>25</v>
      </c>
      <c r="C101" s="32">
        <f>'Media de custo com mão de obra'!T12</f>
        <v>0</v>
      </c>
      <c r="D101" s="22">
        <f t="shared" si="2"/>
        <v>0</v>
      </c>
    </row>
    <row r="102" spans="1:4" x14ac:dyDescent="0.25">
      <c r="A102" s="219" t="s">
        <v>42</v>
      </c>
      <c r="B102" s="219"/>
      <c r="C102" s="33">
        <f>SUM(C96:C101)</f>
        <v>0.1533440623068151</v>
      </c>
      <c r="D102" s="29">
        <f>SUM(D96:D101)</f>
        <v>335.74973795795552</v>
      </c>
    </row>
    <row r="105" spans="1:4" x14ac:dyDescent="0.25">
      <c r="A105" s="228" t="s">
        <v>63</v>
      </c>
      <c r="B105" s="228"/>
      <c r="C105" s="228"/>
      <c r="D105" s="228"/>
    </row>
    <row r="106" spans="1:4" x14ac:dyDescent="0.25">
      <c r="A106" s="2"/>
    </row>
    <row r="107" spans="1:4" x14ac:dyDescent="0.25">
      <c r="A107" s="66" t="s">
        <v>64</v>
      </c>
      <c r="B107" s="66" t="s">
        <v>65</v>
      </c>
      <c r="C107" s="18"/>
      <c r="D107" s="66" t="s">
        <v>13</v>
      </c>
    </row>
    <row r="108" spans="1:4" x14ac:dyDescent="0.25">
      <c r="A108" s="26" t="s">
        <v>14</v>
      </c>
      <c r="B108" s="27" t="s">
        <v>82</v>
      </c>
      <c r="C108" s="18"/>
      <c r="D108" s="22">
        <v>0</v>
      </c>
    </row>
    <row r="109" spans="1:4" x14ac:dyDescent="0.25">
      <c r="A109" s="219" t="s">
        <v>1</v>
      </c>
      <c r="B109" s="219"/>
      <c r="C109" s="18"/>
      <c r="D109" s="22">
        <f>D108</f>
        <v>0</v>
      </c>
    </row>
    <row r="112" spans="1:4" x14ac:dyDescent="0.25">
      <c r="A112" s="228" t="s">
        <v>66</v>
      </c>
      <c r="B112" s="228"/>
      <c r="C112" s="228"/>
      <c r="D112" s="228"/>
    </row>
    <row r="113" spans="1:4" x14ac:dyDescent="0.25">
      <c r="A113" s="2"/>
    </row>
    <row r="114" spans="1:4" x14ac:dyDescent="0.25">
      <c r="A114" s="66">
        <v>4</v>
      </c>
      <c r="B114" s="66" t="s">
        <v>67</v>
      </c>
      <c r="C114" s="18"/>
      <c r="D114" s="66" t="s">
        <v>13</v>
      </c>
    </row>
    <row r="115" spans="1:4" x14ac:dyDescent="0.25">
      <c r="A115" s="26" t="s">
        <v>58</v>
      </c>
      <c r="B115" s="27" t="s">
        <v>59</v>
      </c>
      <c r="C115" s="18"/>
      <c r="D115" s="22">
        <f>D102</f>
        <v>335.74973795795552</v>
      </c>
    </row>
    <row r="116" spans="1:4" x14ac:dyDescent="0.25">
      <c r="A116" s="26" t="s">
        <v>64</v>
      </c>
      <c r="B116" s="27" t="s">
        <v>65</v>
      </c>
      <c r="C116" s="18"/>
      <c r="D116" s="22">
        <f>D109</f>
        <v>0</v>
      </c>
    </row>
    <row r="117" spans="1:4" x14ac:dyDescent="0.25">
      <c r="A117" s="219" t="s">
        <v>1</v>
      </c>
      <c r="B117" s="219"/>
      <c r="C117" s="18"/>
      <c r="D117" s="22">
        <f>SUM(D115:D116)</f>
        <v>335.74973795795552</v>
      </c>
    </row>
    <row r="120" spans="1:4" x14ac:dyDescent="0.25">
      <c r="A120" s="229" t="s">
        <v>68</v>
      </c>
      <c r="B120" s="229"/>
      <c r="C120" s="229"/>
      <c r="D120" s="229"/>
    </row>
    <row r="122" spans="1:4" x14ac:dyDescent="0.25">
      <c r="A122" s="66">
        <v>5</v>
      </c>
      <c r="B122" s="30" t="s">
        <v>6</v>
      </c>
      <c r="C122" s="18"/>
      <c r="D122" s="66" t="s">
        <v>13</v>
      </c>
    </row>
    <row r="123" spans="1:4" x14ac:dyDescent="0.25">
      <c r="A123" s="26" t="s">
        <v>14</v>
      </c>
      <c r="B123" s="27" t="s">
        <v>69</v>
      </c>
      <c r="C123" s="18"/>
      <c r="D123" s="120">
        <f>Uniformes!P24</f>
        <v>33.334256666666661</v>
      </c>
    </row>
    <row r="124" spans="1:4" x14ac:dyDescent="0.25">
      <c r="A124" s="26" t="s">
        <v>16</v>
      </c>
      <c r="B124" s="27" t="s">
        <v>70</v>
      </c>
      <c r="C124" s="18"/>
      <c r="D124" s="22">
        <v>0</v>
      </c>
    </row>
    <row r="125" spans="1:4" x14ac:dyDescent="0.25">
      <c r="A125" s="26" t="s">
        <v>18</v>
      </c>
      <c r="B125" s="27" t="s">
        <v>89</v>
      </c>
      <c r="C125" s="18"/>
      <c r="D125" s="48"/>
    </row>
    <row r="126" spans="1:4" ht="31.5" x14ac:dyDescent="0.25">
      <c r="A126" s="26" t="s">
        <v>20</v>
      </c>
      <c r="B126" s="27" t="s">
        <v>338</v>
      </c>
      <c r="C126" s="18"/>
      <c r="D126" s="22">
        <f>155/103</f>
        <v>1.5048543689320388</v>
      </c>
    </row>
    <row r="127" spans="1:4" x14ac:dyDescent="0.25">
      <c r="A127" s="219" t="s">
        <v>42</v>
      </c>
      <c r="B127" s="219"/>
      <c r="C127" s="18"/>
      <c r="D127" s="48">
        <f>SUM(D123:D126)</f>
        <v>34.839111035598698</v>
      </c>
    </row>
    <row r="130" spans="1:6" x14ac:dyDescent="0.25">
      <c r="A130" s="229" t="s">
        <v>71</v>
      </c>
      <c r="B130" s="229"/>
      <c r="C130" s="229"/>
      <c r="D130" s="229"/>
    </row>
    <row r="131" spans="1:6" ht="16.5" thickBot="1" x14ac:dyDescent="0.3"/>
    <row r="132" spans="1:6" ht="16.5" thickBot="1" x14ac:dyDescent="0.3">
      <c r="A132" s="3">
        <v>6</v>
      </c>
      <c r="B132" s="7" t="s">
        <v>7</v>
      </c>
      <c r="C132" s="65" t="s">
        <v>35</v>
      </c>
      <c r="D132" s="65" t="s">
        <v>13</v>
      </c>
    </row>
    <row r="133" spans="1:6" ht="16.5" thickBot="1" x14ac:dyDescent="0.3">
      <c r="A133" s="4" t="s">
        <v>14</v>
      </c>
      <c r="B133" s="5" t="s">
        <v>8</v>
      </c>
      <c r="C133" s="14">
        <f>'Media de custo com mão de obra'!T14</f>
        <v>1.66E-2</v>
      </c>
      <c r="D133" s="11">
        <f>(D26+D75+D87+D117+D127)*C133</f>
        <v>78.50923944665108</v>
      </c>
    </row>
    <row r="134" spans="1:6" ht="16.5" thickBot="1" x14ac:dyDescent="0.3">
      <c r="A134" s="4" t="s">
        <v>131</v>
      </c>
      <c r="B134" s="5" t="s">
        <v>345</v>
      </c>
      <c r="C134" s="14"/>
      <c r="D134" s="11">
        <v>75</v>
      </c>
    </row>
    <row r="135" spans="1:6" ht="16.5" thickBot="1" x14ac:dyDescent="0.3">
      <c r="A135" s="4" t="s">
        <v>16</v>
      </c>
      <c r="B135" s="5" t="s">
        <v>10</v>
      </c>
      <c r="C135" s="14">
        <f>'Media de custo com mão de obra'!T15</f>
        <v>2.4500000000000001E-2</v>
      </c>
      <c r="D135" s="11">
        <f>(D26+D75+D87+D117+D127+D133+D134)*C135</f>
        <v>119.63304663409062</v>
      </c>
    </row>
    <row r="136" spans="1:6" ht="16.5" thickBot="1" x14ac:dyDescent="0.3">
      <c r="A136" s="4" t="s">
        <v>18</v>
      </c>
      <c r="B136" s="5" t="s">
        <v>9</v>
      </c>
      <c r="C136" s="14">
        <f>SUM(C137,C139)</f>
        <v>0.14250000000000002</v>
      </c>
      <c r="D136" s="11">
        <f>((D26+D75+D87+D117+D127+D133+D134+D135)/(1-(C136)))*C136</f>
        <v>831.33827664278851</v>
      </c>
    </row>
    <row r="137" spans="1:6" ht="16.5" thickBot="1" x14ac:dyDescent="0.3">
      <c r="A137" s="4"/>
      <c r="B137" s="5" t="s">
        <v>90</v>
      </c>
      <c r="C137" s="14">
        <f>1.65%+7.6%</f>
        <v>9.2499999999999999E-2</v>
      </c>
      <c r="D137" s="11">
        <f>((D26+D75+D87+D117+D127+D133+D134+D135)/(1-(C136)))*C137</f>
        <v>539.64063571549423</v>
      </c>
    </row>
    <row r="138" spans="1:6" ht="16.5" thickBot="1" x14ac:dyDescent="0.3">
      <c r="A138" s="4"/>
      <c r="B138" s="5" t="s">
        <v>72</v>
      </c>
      <c r="C138" s="14">
        <v>0</v>
      </c>
      <c r="D138" s="11"/>
    </row>
    <row r="139" spans="1:6" ht="16.5" thickBot="1" x14ac:dyDescent="0.3">
      <c r="A139" s="4"/>
      <c r="B139" s="5" t="s">
        <v>73</v>
      </c>
      <c r="C139" s="14">
        <v>0.05</v>
      </c>
      <c r="D139" s="11">
        <f>((D26+D75+D87+D117+D127+D133+D134+D135)/(1-(C136)))*C139</f>
        <v>291.69764092729423</v>
      </c>
      <c r="F139" s="54">
        <f>D137+D139</f>
        <v>831.33827664278851</v>
      </c>
    </row>
    <row r="140" spans="1:6" ht="16.5" thickBot="1" x14ac:dyDescent="0.3">
      <c r="A140" s="220" t="s">
        <v>42</v>
      </c>
      <c r="B140" s="221"/>
      <c r="C140" s="14">
        <f>SUM(C133:C136)</f>
        <v>0.18360000000000001</v>
      </c>
      <c r="D140" s="11">
        <f>SUM(D133:D136)</f>
        <v>1104.4805627235301</v>
      </c>
    </row>
    <row r="143" spans="1:6" x14ac:dyDescent="0.25">
      <c r="A143" s="229" t="s">
        <v>74</v>
      </c>
      <c r="B143" s="229"/>
      <c r="C143" s="229"/>
      <c r="D143" s="229"/>
    </row>
    <row r="144" spans="1:6" ht="16.5" thickBot="1" x14ac:dyDescent="0.3"/>
    <row r="145" spans="1:7" ht="16.5" thickBot="1" x14ac:dyDescent="0.3">
      <c r="A145" s="3"/>
      <c r="B145" s="65" t="s">
        <v>75</v>
      </c>
      <c r="C145" s="65"/>
      <c r="D145" s="65" t="s">
        <v>13</v>
      </c>
    </row>
    <row r="146" spans="1:7" ht="16.5" thickBot="1" x14ac:dyDescent="0.3">
      <c r="A146" s="9" t="s">
        <v>14</v>
      </c>
      <c r="B146" s="5" t="s">
        <v>11</v>
      </c>
      <c r="C146" s="14"/>
      <c r="D146" s="12">
        <f>D26</f>
        <v>2189.5189999999998</v>
      </c>
    </row>
    <row r="147" spans="1:7" ht="16.5" thickBot="1" x14ac:dyDescent="0.3">
      <c r="A147" s="9" t="s">
        <v>16</v>
      </c>
      <c r="B147" s="5" t="s">
        <v>26</v>
      </c>
      <c r="C147" s="14"/>
      <c r="D147" s="12">
        <f>D75</f>
        <v>2013.7439059999997</v>
      </c>
    </row>
    <row r="148" spans="1:7" ht="16.5" thickBot="1" x14ac:dyDescent="0.3">
      <c r="A148" s="9" t="s">
        <v>18</v>
      </c>
      <c r="B148" s="5" t="s">
        <v>48</v>
      </c>
      <c r="C148" s="14"/>
      <c r="D148" s="12">
        <f>D87</f>
        <v>155.6205008288</v>
      </c>
    </row>
    <row r="149" spans="1:7" ht="16.5" thickBot="1" x14ac:dyDescent="0.3">
      <c r="A149" s="9" t="s">
        <v>20</v>
      </c>
      <c r="B149" s="5" t="s">
        <v>56</v>
      </c>
      <c r="C149" s="14"/>
      <c r="D149" s="12">
        <f>D117</f>
        <v>335.74973795795552</v>
      </c>
    </row>
    <row r="150" spans="1:7" ht="16.5" thickBot="1" x14ac:dyDescent="0.3">
      <c r="A150" s="9" t="s">
        <v>21</v>
      </c>
      <c r="B150" s="5" t="s">
        <v>68</v>
      </c>
      <c r="C150" s="14"/>
      <c r="D150" s="12">
        <f>D127</f>
        <v>34.839111035598698</v>
      </c>
    </row>
    <row r="151" spans="1:7" ht="16.5" thickBot="1" x14ac:dyDescent="0.3">
      <c r="A151" s="220" t="s">
        <v>76</v>
      </c>
      <c r="B151" s="221"/>
      <c r="C151" s="14"/>
      <c r="D151" s="12">
        <f>SUM(D146:D150)</f>
        <v>4729.4722558223539</v>
      </c>
    </row>
    <row r="152" spans="1:7" ht="16.5" thickBot="1" x14ac:dyDescent="0.3">
      <c r="A152" s="9" t="s">
        <v>23</v>
      </c>
      <c r="B152" s="5" t="s">
        <v>77</v>
      </c>
      <c r="C152" s="14"/>
      <c r="D152" s="12">
        <f>D140</f>
        <v>1104.4805627235301</v>
      </c>
    </row>
    <row r="153" spans="1:7" ht="16.5" thickBot="1" x14ac:dyDescent="0.3">
      <c r="A153" s="220" t="s">
        <v>78</v>
      </c>
      <c r="B153" s="221"/>
      <c r="D153" s="12">
        <f>SUM(D151:D152)</f>
        <v>5833.9528185458839</v>
      </c>
      <c r="F153" s="201">
        <v>5744.35</v>
      </c>
      <c r="G153" s="54">
        <f>D153-F153</f>
        <v>89.602818545883565</v>
      </c>
    </row>
  </sheetData>
  <mergeCells count="43">
    <mergeCell ref="A26:B26"/>
    <mergeCell ref="A1:D1"/>
    <mergeCell ref="A2:D2"/>
    <mergeCell ref="A3:D3"/>
    <mergeCell ref="A5:D5"/>
    <mergeCell ref="C6:D6"/>
    <mergeCell ref="C7:D7"/>
    <mergeCell ref="C8:D8"/>
    <mergeCell ref="C9:D9"/>
    <mergeCell ref="C10:D10"/>
    <mergeCell ref="C11:D11"/>
    <mergeCell ref="A16:D16"/>
    <mergeCell ref="A59:D59"/>
    <mergeCell ref="A29:D29"/>
    <mergeCell ref="A31:D31"/>
    <mergeCell ref="A36:B36"/>
    <mergeCell ref="A38:D38"/>
    <mergeCell ref="A39:D39"/>
    <mergeCell ref="A40:D40"/>
    <mergeCell ref="A42:D42"/>
    <mergeCell ref="A53:B53"/>
    <mergeCell ref="A55:D55"/>
    <mergeCell ref="A56:D56"/>
    <mergeCell ref="A57:D57"/>
    <mergeCell ref="A117:B117"/>
    <mergeCell ref="A66:B66"/>
    <mergeCell ref="A69:D69"/>
    <mergeCell ref="A75:B75"/>
    <mergeCell ref="A78:D78"/>
    <mergeCell ref="A87:B87"/>
    <mergeCell ref="A90:D90"/>
    <mergeCell ref="A93:D93"/>
    <mergeCell ref="A102:B102"/>
    <mergeCell ref="A105:D105"/>
    <mergeCell ref="A109:B109"/>
    <mergeCell ref="A112:D112"/>
    <mergeCell ref="A153:B153"/>
    <mergeCell ref="A120:D120"/>
    <mergeCell ref="A127:B127"/>
    <mergeCell ref="A130:D130"/>
    <mergeCell ref="A140:B140"/>
    <mergeCell ref="A143:D143"/>
    <mergeCell ref="A151:B151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rowBreaks count="3" manualBreakCount="3">
    <brk id="58" max="3" man="1"/>
    <brk id="76" max="16383" man="1"/>
    <brk id="141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G152"/>
  <sheetViews>
    <sheetView showGridLines="0" view="pageBreakPreview" topLeftCell="A127" zoomScaleNormal="115" zoomScaleSheetLayoutView="100" workbookViewId="0">
      <selection activeCell="A133" sqref="A133:D133"/>
    </sheetView>
  </sheetViews>
  <sheetFormatPr defaultColWidth="9.140625" defaultRowHeight="15.75" x14ac:dyDescent="0.25"/>
  <cols>
    <col min="1" max="1" width="9.140625" style="8"/>
    <col min="2" max="2" width="72.140625" style="8" customWidth="1"/>
    <col min="3" max="3" width="20" style="8" customWidth="1"/>
    <col min="4" max="4" width="15.7109375" style="8" customWidth="1"/>
    <col min="5" max="5" width="12.7109375" style="8" hidden="1" customWidth="1"/>
    <col min="6" max="6" width="38.42578125" style="8" customWidth="1"/>
    <col min="7" max="7" width="15.140625" style="8" customWidth="1"/>
    <col min="8" max="16384" width="9.140625" style="8"/>
  </cols>
  <sheetData>
    <row r="1" spans="1:4" ht="23.25" x14ac:dyDescent="0.35">
      <c r="A1" s="232" t="s">
        <v>79</v>
      </c>
      <c r="B1" s="232"/>
      <c r="C1" s="232"/>
      <c r="D1" s="232"/>
    </row>
    <row r="2" spans="1:4" ht="23.25" x14ac:dyDescent="0.35">
      <c r="A2" s="232" t="s">
        <v>80</v>
      </c>
      <c r="B2" s="232"/>
      <c r="C2" s="232"/>
      <c r="D2" s="232"/>
    </row>
    <row r="3" spans="1:4" x14ac:dyDescent="0.25">
      <c r="A3" s="233" t="s">
        <v>81</v>
      </c>
      <c r="B3" s="233"/>
      <c r="C3" s="233"/>
      <c r="D3" s="233"/>
    </row>
    <row r="4" spans="1:4" x14ac:dyDescent="0.25">
      <c r="A4" s="63"/>
      <c r="B4" s="63"/>
      <c r="C4" s="63"/>
      <c r="D4" s="63"/>
    </row>
    <row r="5" spans="1:4" x14ac:dyDescent="0.25">
      <c r="A5" s="235" t="s">
        <v>135</v>
      </c>
      <c r="B5" s="235"/>
      <c r="C5" s="235"/>
      <c r="D5" s="235"/>
    </row>
    <row r="6" spans="1:4" x14ac:dyDescent="0.25">
      <c r="A6" s="26" t="s">
        <v>14</v>
      </c>
      <c r="B6" s="62" t="s">
        <v>137</v>
      </c>
      <c r="C6" s="224" t="s">
        <v>86</v>
      </c>
      <c r="D6" s="225"/>
    </row>
    <row r="7" spans="1:4" x14ac:dyDescent="0.25">
      <c r="A7" s="26" t="s">
        <v>16</v>
      </c>
      <c r="B7" s="62" t="s">
        <v>141</v>
      </c>
      <c r="C7" s="224" t="s">
        <v>127</v>
      </c>
      <c r="D7" s="225"/>
    </row>
    <row r="8" spans="1:4" x14ac:dyDescent="0.25">
      <c r="A8" s="26" t="s">
        <v>18</v>
      </c>
      <c r="B8" s="62" t="s">
        <v>140</v>
      </c>
      <c r="C8" s="222">
        <v>1586.8679999999999</v>
      </c>
      <c r="D8" s="223"/>
    </row>
    <row r="9" spans="1:4" x14ac:dyDescent="0.25">
      <c r="A9" s="26" t="s">
        <v>20</v>
      </c>
      <c r="B9" s="62" t="s">
        <v>138</v>
      </c>
      <c r="C9" s="224" t="s">
        <v>340</v>
      </c>
      <c r="D9" s="225"/>
    </row>
    <row r="10" spans="1:4" x14ac:dyDescent="0.25">
      <c r="A10" s="26" t="s">
        <v>21</v>
      </c>
      <c r="B10" s="62" t="s">
        <v>139</v>
      </c>
      <c r="C10" s="230">
        <v>45658</v>
      </c>
      <c r="D10" s="225"/>
    </row>
    <row r="11" spans="1:4" x14ac:dyDescent="0.25">
      <c r="A11" s="26" t="s">
        <v>23</v>
      </c>
      <c r="B11" s="62" t="s">
        <v>136</v>
      </c>
      <c r="C11" s="224">
        <v>12</v>
      </c>
      <c r="D11" s="225"/>
    </row>
    <row r="12" spans="1:4" x14ac:dyDescent="0.25">
      <c r="A12" s="63"/>
      <c r="B12" s="63"/>
      <c r="C12" s="63"/>
      <c r="D12" s="63"/>
    </row>
    <row r="13" spans="1:4" x14ac:dyDescent="0.25">
      <c r="A13" s="63"/>
      <c r="B13" s="63"/>
      <c r="C13" s="63"/>
      <c r="D13" s="63"/>
    </row>
    <row r="14" spans="1:4" ht="6" customHeight="1" x14ac:dyDescent="0.25"/>
    <row r="15" spans="1:4" x14ac:dyDescent="0.25">
      <c r="A15" s="234" t="s">
        <v>11</v>
      </c>
      <c r="B15" s="234"/>
      <c r="C15" s="234"/>
      <c r="D15" s="234"/>
    </row>
    <row r="17" spans="1:4" x14ac:dyDescent="0.25">
      <c r="A17" s="35">
        <v>1</v>
      </c>
      <c r="B17" s="35" t="s">
        <v>12</v>
      </c>
      <c r="C17" s="18"/>
      <c r="D17" s="35" t="s">
        <v>13</v>
      </c>
    </row>
    <row r="18" spans="1:4" ht="16.5" thickBot="1" x14ac:dyDescent="0.3">
      <c r="A18" s="26" t="s">
        <v>14</v>
      </c>
      <c r="B18" s="27" t="s">
        <v>15</v>
      </c>
      <c r="C18" s="18"/>
      <c r="D18" s="76">
        <f>C8</f>
        <v>1586.8679999999999</v>
      </c>
    </row>
    <row r="19" spans="1:4" x14ac:dyDescent="0.25">
      <c r="A19" s="26" t="s">
        <v>16</v>
      </c>
      <c r="B19" s="27" t="s">
        <v>17</v>
      </c>
      <c r="C19" s="18"/>
      <c r="D19" s="22"/>
    </row>
    <row r="20" spans="1:4" x14ac:dyDescent="0.25">
      <c r="A20" s="26" t="s">
        <v>18</v>
      </c>
      <c r="B20" s="27" t="s">
        <v>19</v>
      </c>
      <c r="C20" s="18"/>
      <c r="D20" s="22"/>
    </row>
    <row r="21" spans="1:4" x14ac:dyDescent="0.25">
      <c r="A21" s="26" t="s">
        <v>20</v>
      </c>
      <c r="B21" s="27" t="s">
        <v>0</v>
      </c>
      <c r="C21" s="18"/>
      <c r="D21" s="22"/>
    </row>
    <row r="22" spans="1:4" x14ac:dyDescent="0.25">
      <c r="A22" s="26" t="s">
        <v>21</v>
      </c>
      <c r="B22" s="27" t="s">
        <v>22</v>
      </c>
      <c r="C22" s="18"/>
      <c r="D22" s="22"/>
    </row>
    <row r="23" spans="1:4" x14ac:dyDescent="0.25">
      <c r="A23" s="26"/>
      <c r="B23" s="27"/>
      <c r="C23" s="18"/>
      <c r="D23" s="22"/>
    </row>
    <row r="24" spans="1:4" x14ac:dyDescent="0.25">
      <c r="A24" s="26" t="s">
        <v>24</v>
      </c>
      <c r="B24" s="27" t="s">
        <v>25</v>
      </c>
      <c r="C24" s="18"/>
      <c r="D24" s="22"/>
    </row>
    <row r="25" spans="1:4" x14ac:dyDescent="0.25">
      <c r="A25" s="219" t="s">
        <v>1</v>
      </c>
      <c r="B25" s="219"/>
      <c r="C25" s="18"/>
      <c r="D25" s="22">
        <f>SUM(D18:D24)</f>
        <v>1586.8679999999999</v>
      </c>
    </row>
    <row r="27" spans="1:4" ht="5.45" customHeight="1" x14ac:dyDescent="0.25"/>
    <row r="28" spans="1:4" x14ac:dyDescent="0.25">
      <c r="A28" s="229" t="s">
        <v>26</v>
      </c>
      <c r="B28" s="229"/>
      <c r="C28" s="229"/>
      <c r="D28" s="229"/>
    </row>
    <row r="29" spans="1:4" x14ac:dyDescent="0.25">
      <c r="A29" s="2"/>
    </row>
    <row r="30" spans="1:4" x14ac:dyDescent="0.25">
      <c r="A30" s="228" t="s">
        <v>27</v>
      </c>
      <c r="B30" s="228"/>
      <c r="C30" s="228"/>
      <c r="D30" s="228"/>
    </row>
    <row r="31" spans="1:4" ht="16.5" thickBot="1" x14ac:dyDescent="0.3"/>
    <row r="32" spans="1:4" ht="16.5" thickBot="1" x14ac:dyDescent="0.3">
      <c r="A32" s="3" t="s">
        <v>28</v>
      </c>
      <c r="B32" s="36" t="s">
        <v>29</v>
      </c>
      <c r="C32" s="20" t="s">
        <v>91</v>
      </c>
      <c r="D32" s="21" t="s">
        <v>13</v>
      </c>
    </row>
    <row r="33" spans="1:4" ht="16.5" thickBot="1" x14ac:dyDescent="0.3">
      <c r="A33" s="4" t="s">
        <v>14</v>
      </c>
      <c r="B33" s="19" t="s">
        <v>30</v>
      </c>
      <c r="C33" s="23">
        <f>1/12</f>
        <v>8.3333333333333329E-2</v>
      </c>
      <c r="D33" s="22">
        <f>C33*D25</f>
        <v>132.23899999999998</v>
      </c>
    </row>
    <row r="34" spans="1:4" ht="16.5" thickBot="1" x14ac:dyDescent="0.3">
      <c r="A34" s="4" t="s">
        <v>16</v>
      </c>
      <c r="B34" s="19" t="s">
        <v>31</v>
      </c>
      <c r="C34" s="24">
        <f>1/12+1/12*1/3</f>
        <v>0.1111111111111111</v>
      </c>
      <c r="D34" s="22">
        <f>D25*C34</f>
        <v>176.31866666666664</v>
      </c>
    </row>
    <row r="35" spans="1:4" ht="16.5" thickBot="1" x14ac:dyDescent="0.3">
      <c r="A35" s="220" t="s">
        <v>1</v>
      </c>
      <c r="B35" s="227"/>
      <c r="C35" s="23">
        <f>SUM(C33:C34)</f>
        <v>0.19444444444444442</v>
      </c>
      <c r="D35" s="22">
        <f>SUM(D33:D34)</f>
        <v>308.55766666666659</v>
      </c>
    </row>
    <row r="36" spans="1:4" ht="3" customHeight="1" x14ac:dyDescent="0.25"/>
    <row r="37" spans="1:4" ht="62.45" customHeight="1" x14ac:dyDescent="0.25">
      <c r="A37" s="226" t="s">
        <v>92</v>
      </c>
      <c r="B37" s="226"/>
      <c r="C37" s="226"/>
      <c r="D37" s="226"/>
    </row>
    <row r="38" spans="1:4" ht="56.45" customHeight="1" x14ac:dyDescent="0.25">
      <c r="A38" s="226" t="s">
        <v>93</v>
      </c>
      <c r="B38" s="226"/>
      <c r="C38" s="226"/>
      <c r="D38" s="226"/>
    </row>
    <row r="39" spans="1:4" ht="65.45" customHeight="1" x14ac:dyDescent="0.25">
      <c r="A39" s="226" t="s">
        <v>94</v>
      </c>
      <c r="B39" s="226"/>
      <c r="C39" s="226"/>
      <c r="D39" s="226"/>
    </row>
    <row r="40" spans="1:4" ht="3.6" customHeight="1" x14ac:dyDescent="0.25"/>
    <row r="41" spans="1:4" ht="32.25" customHeight="1" x14ac:dyDescent="0.25">
      <c r="A41" s="231" t="s">
        <v>32</v>
      </c>
      <c r="B41" s="231"/>
      <c r="C41" s="231"/>
      <c r="D41" s="231"/>
    </row>
    <row r="42" spans="1:4" ht="16.5" thickBot="1" x14ac:dyDescent="0.3"/>
    <row r="43" spans="1:4" ht="16.5" thickBot="1" x14ac:dyDescent="0.3">
      <c r="A43" s="3" t="s">
        <v>33</v>
      </c>
      <c r="B43" s="34" t="s">
        <v>34</v>
      </c>
      <c r="C43" s="34" t="s">
        <v>35</v>
      </c>
      <c r="D43" s="34" t="s">
        <v>13</v>
      </c>
    </row>
    <row r="44" spans="1:4" ht="16.5" thickBot="1" x14ac:dyDescent="0.3">
      <c r="A44" s="4" t="s">
        <v>14</v>
      </c>
      <c r="B44" s="5" t="s">
        <v>36</v>
      </c>
      <c r="C44" s="6">
        <v>0.2</v>
      </c>
      <c r="D44" s="11">
        <f t="shared" ref="D44:D51" si="0">($D$25+$D$35)*C44</f>
        <v>379.08513333333332</v>
      </c>
    </row>
    <row r="45" spans="1:4" ht="16.5" thickBot="1" x14ac:dyDescent="0.3">
      <c r="A45" s="4" t="s">
        <v>16</v>
      </c>
      <c r="B45" s="5" t="s">
        <v>37</v>
      </c>
      <c r="C45" s="6">
        <v>2.5000000000000001E-2</v>
      </c>
      <c r="D45" s="11">
        <f t="shared" si="0"/>
        <v>47.385641666666665</v>
      </c>
    </row>
    <row r="46" spans="1:4" ht="16.5" thickBot="1" x14ac:dyDescent="0.3">
      <c r="A46" s="4" t="s">
        <v>18</v>
      </c>
      <c r="B46" s="5" t="s">
        <v>38</v>
      </c>
      <c r="C46" s="13">
        <v>0.03</v>
      </c>
      <c r="D46" s="11">
        <f t="shared" si="0"/>
        <v>56.86276999999999</v>
      </c>
    </row>
    <row r="47" spans="1:4" ht="16.5" thickBot="1" x14ac:dyDescent="0.3">
      <c r="A47" s="4" t="s">
        <v>20</v>
      </c>
      <c r="B47" s="5" t="s">
        <v>39</v>
      </c>
      <c r="C47" s="6">
        <v>1.4999999999999999E-2</v>
      </c>
      <c r="D47" s="11">
        <f t="shared" si="0"/>
        <v>28.431384999999995</v>
      </c>
    </row>
    <row r="48" spans="1:4" ht="16.5" thickBot="1" x14ac:dyDescent="0.3">
      <c r="A48" s="4" t="s">
        <v>21</v>
      </c>
      <c r="B48" s="5" t="s">
        <v>40</v>
      </c>
      <c r="C48" s="6">
        <v>0.01</v>
      </c>
      <c r="D48" s="11">
        <f t="shared" si="0"/>
        <v>18.954256666666666</v>
      </c>
    </row>
    <row r="49" spans="1:4" ht="16.5" thickBot="1" x14ac:dyDescent="0.3">
      <c r="A49" s="4" t="s">
        <v>23</v>
      </c>
      <c r="B49" s="5" t="s">
        <v>3</v>
      </c>
      <c r="C49" s="6">
        <v>6.0000000000000001E-3</v>
      </c>
      <c r="D49" s="11">
        <f t="shared" si="0"/>
        <v>11.372553999999999</v>
      </c>
    </row>
    <row r="50" spans="1:4" ht="16.5" thickBot="1" x14ac:dyDescent="0.3">
      <c r="A50" s="4" t="s">
        <v>24</v>
      </c>
      <c r="B50" s="5" t="s">
        <v>4</v>
      </c>
      <c r="C50" s="6">
        <v>2E-3</v>
      </c>
      <c r="D50" s="11">
        <f t="shared" si="0"/>
        <v>3.7908513333333334</v>
      </c>
    </row>
    <row r="51" spans="1:4" ht="16.5" thickBot="1" x14ac:dyDescent="0.3">
      <c r="A51" s="4" t="s">
        <v>41</v>
      </c>
      <c r="B51" s="5" t="s">
        <v>5</v>
      </c>
      <c r="C51" s="6">
        <v>0.08</v>
      </c>
      <c r="D51" s="11">
        <f t="shared" si="0"/>
        <v>151.63405333333333</v>
      </c>
    </row>
    <row r="52" spans="1:4" ht="16.5" thickBot="1" x14ac:dyDescent="0.3">
      <c r="A52" s="220" t="s">
        <v>42</v>
      </c>
      <c r="B52" s="221"/>
      <c r="C52" s="6">
        <f>SUM(C44:C51)</f>
        <v>0.36800000000000005</v>
      </c>
      <c r="D52" s="11">
        <f>SUM(D44:D51)</f>
        <v>697.51664533333337</v>
      </c>
    </row>
    <row r="53" spans="1:4" ht="7.9" customHeight="1" x14ac:dyDescent="0.25"/>
    <row r="54" spans="1:4" ht="30.6" customHeight="1" x14ac:dyDescent="0.25">
      <c r="A54" s="226" t="s">
        <v>95</v>
      </c>
      <c r="B54" s="226"/>
      <c r="C54" s="226"/>
      <c r="D54" s="226"/>
    </row>
    <row r="55" spans="1:4" ht="37.15" customHeight="1" x14ac:dyDescent="0.25">
      <c r="A55" s="226" t="s">
        <v>96</v>
      </c>
      <c r="B55" s="226"/>
      <c r="C55" s="226"/>
      <c r="D55" s="226"/>
    </row>
    <row r="56" spans="1:4" ht="37.15" customHeight="1" x14ac:dyDescent="0.25">
      <c r="A56" s="226" t="s">
        <v>97</v>
      </c>
      <c r="B56" s="226"/>
      <c r="C56" s="226"/>
      <c r="D56" s="226"/>
    </row>
    <row r="57" spans="1:4" ht="6" customHeight="1" x14ac:dyDescent="0.25"/>
    <row r="58" spans="1:4" x14ac:dyDescent="0.25">
      <c r="A58" s="228" t="s">
        <v>43</v>
      </c>
      <c r="B58" s="228"/>
      <c r="C58" s="228"/>
      <c r="D58" s="228"/>
    </row>
    <row r="59" spans="1:4" ht="16.5" thickBot="1" x14ac:dyDescent="0.3"/>
    <row r="60" spans="1:4" ht="16.5" thickBot="1" x14ac:dyDescent="0.3">
      <c r="A60" s="35" t="s">
        <v>44</v>
      </c>
      <c r="B60" s="35" t="s">
        <v>45</v>
      </c>
      <c r="C60" s="34"/>
      <c r="D60" s="35" t="s">
        <v>13</v>
      </c>
    </row>
    <row r="61" spans="1:4" x14ac:dyDescent="0.25">
      <c r="A61" s="26" t="s">
        <v>14</v>
      </c>
      <c r="B61" s="27" t="s">
        <v>293</v>
      </c>
      <c r="C61" s="18"/>
      <c r="D61" s="22">
        <f>(4.6*22*2)-(D18*6%)</f>
        <v>107.18791999999999</v>
      </c>
    </row>
    <row r="62" spans="1:4" x14ac:dyDescent="0.25">
      <c r="A62" s="26" t="s">
        <v>16</v>
      </c>
      <c r="B62" s="27" t="s">
        <v>288</v>
      </c>
      <c r="C62" s="18"/>
      <c r="D62" s="22">
        <f>26.7*22-(0.1*26.7*22)</f>
        <v>528.66</v>
      </c>
    </row>
    <row r="63" spans="1:4" x14ac:dyDescent="0.25">
      <c r="A63" s="26" t="s">
        <v>18</v>
      </c>
      <c r="B63" s="27" t="s">
        <v>88</v>
      </c>
      <c r="C63" s="18"/>
      <c r="D63" s="22">
        <v>6</v>
      </c>
    </row>
    <row r="64" spans="1:4" x14ac:dyDescent="0.25">
      <c r="A64" s="26" t="s">
        <v>20</v>
      </c>
      <c r="B64" s="27" t="s">
        <v>158</v>
      </c>
      <c r="C64" s="18"/>
      <c r="D64" s="22">
        <v>19.899999999999999</v>
      </c>
    </row>
    <row r="65" spans="1:4" x14ac:dyDescent="0.25">
      <c r="A65" s="219" t="s">
        <v>1</v>
      </c>
      <c r="B65" s="219"/>
      <c r="C65" s="18"/>
      <c r="D65" s="22">
        <f>SUM(D61:D64)</f>
        <v>661.74791999999991</v>
      </c>
    </row>
    <row r="68" spans="1:4" x14ac:dyDescent="0.25">
      <c r="A68" s="228" t="s">
        <v>46</v>
      </c>
      <c r="B68" s="228"/>
      <c r="C68" s="228"/>
      <c r="D68" s="228"/>
    </row>
    <row r="69" spans="1:4" ht="16.5" thickBot="1" x14ac:dyDescent="0.3"/>
    <row r="70" spans="1:4" ht="16.5" thickBot="1" x14ac:dyDescent="0.3">
      <c r="A70" s="35">
        <v>2</v>
      </c>
      <c r="B70" s="35" t="s">
        <v>47</v>
      </c>
      <c r="C70" s="34" t="s">
        <v>35</v>
      </c>
      <c r="D70" s="35" t="s">
        <v>13</v>
      </c>
    </row>
    <row r="71" spans="1:4" x14ac:dyDescent="0.25">
      <c r="A71" s="26" t="s">
        <v>28</v>
      </c>
      <c r="B71" s="27" t="s">
        <v>29</v>
      </c>
      <c r="C71" s="18"/>
      <c r="D71" s="22">
        <f>D35</f>
        <v>308.55766666666659</v>
      </c>
    </row>
    <row r="72" spans="1:4" x14ac:dyDescent="0.25">
      <c r="A72" s="26" t="s">
        <v>33</v>
      </c>
      <c r="B72" s="27" t="s">
        <v>34</v>
      </c>
      <c r="C72" s="18"/>
      <c r="D72" s="22">
        <f>D52</f>
        <v>697.51664533333337</v>
      </c>
    </row>
    <row r="73" spans="1:4" x14ac:dyDescent="0.25">
      <c r="A73" s="26" t="s">
        <v>44</v>
      </c>
      <c r="B73" s="27" t="s">
        <v>45</v>
      </c>
      <c r="C73" s="18"/>
      <c r="D73" s="22">
        <f>D65</f>
        <v>661.74791999999991</v>
      </c>
    </row>
    <row r="74" spans="1:4" x14ac:dyDescent="0.25">
      <c r="A74" s="219" t="s">
        <v>1</v>
      </c>
      <c r="B74" s="219"/>
      <c r="C74" s="18"/>
      <c r="D74" s="29">
        <f>SUM(D71:D73)</f>
        <v>1667.822232</v>
      </c>
    </row>
    <row r="75" spans="1:4" x14ac:dyDescent="0.25">
      <c r="A75" s="1"/>
    </row>
    <row r="77" spans="1:4" x14ac:dyDescent="0.25">
      <c r="A77" s="229" t="s">
        <v>48</v>
      </c>
      <c r="B77" s="229"/>
      <c r="C77" s="229"/>
      <c r="D77" s="229"/>
    </row>
    <row r="78" spans="1:4" ht="16.5" thickBot="1" x14ac:dyDescent="0.3"/>
    <row r="79" spans="1:4" ht="16.5" thickBot="1" x14ac:dyDescent="0.3">
      <c r="A79" s="35">
        <v>3</v>
      </c>
      <c r="B79" s="35" t="s">
        <v>49</v>
      </c>
      <c r="C79" s="34" t="s">
        <v>35</v>
      </c>
      <c r="D79" s="35" t="s">
        <v>13</v>
      </c>
    </row>
    <row r="80" spans="1:4" x14ac:dyDescent="0.25">
      <c r="A80" s="26" t="s">
        <v>14</v>
      </c>
      <c r="B80" s="28" t="s">
        <v>50</v>
      </c>
      <c r="C80" s="24">
        <f>'Media de custo com mão de obra'!T5</f>
        <v>4.1999999999999997E-3</v>
      </c>
      <c r="D80" s="22">
        <f>C80*$D$25</f>
        <v>6.6648455999999996</v>
      </c>
    </row>
    <row r="81" spans="1:4" x14ac:dyDescent="0.25">
      <c r="A81" s="26" t="s">
        <v>16</v>
      </c>
      <c r="B81" s="28" t="s">
        <v>51</v>
      </c>
      <c r="C81" s="24">
        <f>C80*C51</f>
        <v>3.3599999999999998E-4</v>
      </c>
      <c r="D81" s="22">
        <f t="shared" ref="D81:D84" si="1">C81*$D$25</f>
        <v>0.53318764799999996</v>
      </c>
    </row>
    <row r="82" spans="1:4" x14ac:dyDescent="0.25">
      <c r="A82" s="26" t="s">
        <v>18</v>
      </c>
      <c r="B82" s="28" t="s">
        <v>52</v>
      </c>
      <c r="C82" s="24">
        <v>0.02</v>
      </c>
      <c r="D82" s="22">
        <f t="shared" si="1"/>
        <v>31.737359999999999</v>
      </c>
    </row>
    <row r="83" spans="1:4" x14ac:dyDescent="0.25">
      <c r="A83" s="26" t="s">
        <v>20</v>
      </c>
      <c r="B83" s="28" t="s">
        <v>53</v>
      </c>
      <c r="C83" s="24">
        <f>'Media de custo com mão de obra'!T6</f>
        <v>1.9400000000000001E-2</v>
      </c>
      <c r="D83" s="22">
        <f t="shared" si="1"/>
        <v>30.785239199999999</v>
      </c>
    </row>
    <row r="84" spans="1:4" x14ac:dyDescent="0.25">
      <c r="A84" s="26" t="s">
        <v>21</v>
      </c>
      <c r="B84" s="28" t="s">
        <v>54</v>
      </c>
      <c r="C84" s="24">
        <f>C83*C52</f>
        <v>7.1392000000000009E-3</v>
      </c>
      <c r="D84" s="22">
        <f t="shared" si="1"/>
        <v>11.328968025600002</v>
      </c>
    </row>
    <row r="85" spans="1:4" x14ac:dyDescent="0.25">
      <c r="A85" s="26" t="s">
        <v>23</v>
      </c>
      <c r="B85" s="28" t="s">
        <v>55</v>
      </c>
      <c r="C85" s="24">
        <v>0.02</v>
      </c>
      <c r="D85" s="22">
        <f>C85*$D$25</f>
        <v>31.737359999999999</v>
      </c>
    </row>
    <row r="86" spans="1:4" x14ac:dyDescent="0.25">
      <c r="A86" s="219" t="s">
        <v>1</v>
      </c>
      <c r="B86" s="219"/>
      <c r="C86" s="23">
        <f>SUM(C80:C85)</f>
        <v>7.1075200000000005E-2</v>
      </c>
      <c r="D86" s="22">
        <f>SUM(D80:D85)</f>
        <v>112.7869604736</v>
      </c>
    </row>
    <row r="89" spans="1:4" x14ac:dyDescent="0.25">
      <c r="A89" s="229" t="s">
        <v>56</v>
      </c>
      <c r="B89" s="229"/>
      <c r="C89" s="229"/>
      <c r="D89" s="229"/>
    </row>
    <row r="92" spans="1:4" x14ac:dyDescent="0.25">
      <c r="A92" s="228" t="s">
        <v>57</v>
      </c>
      <c r="B92" s="228"/>
      <c r="C92" s="228"/>
      <c r="D92" s="228"/>
    </row>
    <row r="93" spans="1:4" ht="16.5" thickBot="1" x14ac:dyDescent="0.3">
      <c r="A93" s="2"/>
    </row>
    <row r="94" spans="1:4" ht="16.5" thickBot="1" x14ac:dyDescent="0.3">
      <c r="A94" s="35" t="s">
        <v>58</v>
      </c>
      <c r="B94" s="35" t="s">
        <v>59</v>
      </c>
      <c r="C94" s="34" t="s">
        <v>35</v>
      </c>
      <c r="D94" s="35" t="s">
        <v>13</v>
      </c>
    </row>
    <row r="95" spans="1:4" x14ac:dyDescent="0.25">
      <c r="A95" s="26" t="s">
        <v>14</v>
      </c>
      <c r="B95" s="27" t="s">
        <v>2</v>
      </c>
      <c r="C95" s="32">
        <f>D95/D25</f>
        <v>0.1450122488382567</v>
      </c>
      <c r="D95" s="22">
        <f>'Custo de Substitução nas Ferias'!M13</f>
        <v>230.11529728946672</v>
      </c>
    </row>
    <row r="96" spans="1:4" x14ac:dyDescent="0.25">
      <c r="A96" s="26" t="s">
        <v>16</v>
      </c>
      <c r="B96" s="27" t="s">
        <v>59</v>
      </c>
      <c r="C96" s="32">
        <f>'Media de custo com mão de obra'!T8</f>
        <v>6.0999999999999995E-3</v>
      </c>
      <c r="D96" s="22">
        <f>C96*$D$25</f>
        <v>9.6798947999999996</v>
      </c>
    </row>
    <row r="97" spans="1:4" x14ac:dyDescent="0.25">
      <c r="A97" s="26" t="s">
        <v>18</v>
      </c>
      <c r="B97" s="27" t="s">
        <v>60</v>
      </c>
      <c r="C97" s="32">
        <f>'Media de custo com mão de obra'!T9</f>
        <v>2.5000000000000001E-4</v>
      </c>
      <c r="D97" s="22">
        <f>C97*$D$25</f>
        <v>0.39671699999999999</v>
      </c>
    </row>
    <row r="98" spans="1:4" x14ac:dyDescent="0.25">
      <c r="A98" s="26" t="s">
        <v>20</v>
      </c>
      <c r="B98" s="27" t="s">
        <v>61</v>
      </c>
      <c r="C98" s="32">
        <f>'Media de custo com mão de obra'!T10</f>
        <v>2.0499999999999997E-3</v>
      </c>
      <c r="D98" s="22">
        <f t="shared" ref="D98:D100" si="2">C98*$D$25</f>
        <v>3.2530793999999994</v>
      </c>
    </row>
    <row r="99" spans="1:4" x14ac:dyDescent="0.25">
      <c r="A99" s="26" t="s">
        <v>21</v>
      </c>
      <c r="B99" s="27" t="s">
        <v>62</v>
      </c>
      <c r="C99" s="32">
        <f>'Media de custo com mão de obra'!T11</f>
        <v>5.9999999999999995E-4</v>
      </c>
      <c r="D99" s="22">
        <f t="shared" si="2"/>
        <v>0.95212079999999988</v>
      </c>
    </row>
    <row r="100" spans="1:4" x14ac:dyDescent="0.25">
      <c r="A100" s="26" t="s">
        <v>23</v>
      </c>
      <c r="B100" s="27" t="s">
        <v>25</v>
      </c>
      <c r="C100" s="32">
        <f>'Media de custo com mão de obra'!T12</f>
        <v>0</v>
      </c>
      <c r="D100" s="22">
        <f t="shared" si="2"/>
        <v>0</v>
      </c>
    </row>
    <row r="101" spans="1:4" x14ac:dyDescent="0.25">
      <c r="A101" s="219" t="s">
        <v>42</v>
      </c>
      <c r="B101" s="219"/>
      <c r="C101" s="33"/>
      <c r="D101" s="29">
        <f>SUM(D95:E100)</f>
        <v>244.3971092894667</v>
      </c>
    </row>
    <row r="104" spans="1:4" x14ac:dyDescent="0.25">
      <c r="A104" s="228" t="s">
        <v>63</v>
      </c>
      <c r="B104" s="228"/>
      <c r="C104" s="228"/>
      <c r="D104" s="228"/>
    </row>
    <row r="105" spans="1:4" x14ac:dyDescent="0.25">
      <c r="A105" s="2"/>
    </row>
    <row r="106" spans="1:4" x14ac:dyDescent="0.25">
      <c r="A106" s="35" t="s">
        <v>64</v>
      </c>
      <c r="B106" s="35" t="s">
        <v>65</v>
      </c>
      <c r="C106" s="18"/>
      <c r="D106" s="35" t="s">
        <v>13</v>
      </c>
    </row>
    <row r="107" spans="1:4" x14ac:dyDescent="0.25">
      <c r="A107" s="26" t="s">
        <v>14</v>
      </c>
      <c r="B107" s="27" t="s">
        <v>82</v>
      </c>
      <c r="C107" s="18"/>
      <c r="D107" s="22">
        <v>0</v>
      </c>
    </row>
    <row r="108" spans="1:4" x14ac:dyDescent="0.25">
      <c r="A108" s="219" t="s">
        <v>1</v>
      </c>
      <c r="B108" s="219"/>
      <c r="C108" s="18"/>
      <c r="D108" s="22">
        <f>D107</f>
        <v>0</v>
      </c>
    </row>
    <row r="111" spans="1:4" x14ac:dyDescent="0.25">
      <c r="A111" s="228" t="s">
        <v>66</v>
      </c>
      <c r="B111" s="228"/>
      <c r="C111" s="228"/>
      <c r="D111" s="228"/>
    </row>
    <row r="112" spans="1:4" x14ac:dyDescent="0.25">
      <c r="A112" s="2"/>
    </row>
    <row r="113" spans="1:4" x14ac:dyDescent="0.25">
      <c r="A113" s="35">
        <v>4</v>
      </c>
      <c r="B113" s="35" t="s">
        <v>67</v>
      </c>
      <c r="C113" s="18"/>
      <c r="D113" s="35" t="s">
        <v>13</v>
      </c>
    </row>
    <row r="114" spans="1:4" x14ac:dyDescent="0.25">
      <c r="A114" s="26" t="s">
        <v>58</v>
      </c>
      <c r="B114" s="27" t="s">
        <v>59</v>
      </c>
      <c r="C114" s="18"/>
      <c r="D114" s="22">
        <f>D101</f>
        <v>244.3971092894667</v>
      </c>
    </row>
    <row r="115" spans="1:4" x14ac:dyDescent="0.25">
      <c r="A115" s="26" t="s">
        <v>64</v>
      </c>
      <c r="B115" s="27" t="s">
        <v>65</v>
      </c>
      <c r="C115" s="18"/>
      <c r="D115" s="22">
        <f>D108</f>
        <v>0</v>
      </c>
    </row>
    <row r="116" spans="1:4" x14ac:dyDescent="0.25">
      <c r="A116" s="219" t="s">
        <v>1</v>
      </c>
      <c r="B116" s="219"/>
      <c r="C116" s="18"/>
      <c r="D116" s="22">
        <f>SUM(D114:D115)</f>
        <v>244.3971092894667</v>
      </c>
    </row>
    <row r="119" spans="1:4" x14ac:dyDescent="0.25">
      <c r="A119" s="229" t="s">
        <v>68</v>
      </c>
      <c r="B119" s="229"/>
      <c r="C119" s="229"/>
      <c r="D119" s="229"/>
    </row>
    <row r="121" spans="1:4" x14ac:dyDescent="0.25">
      <c r="A121" s="35">
        <v>5</v>
      </c>
      <c r="B121" s="30" t="s">
        <v>6</v>
      </c>
      <c r="C121" s="18"/>
      <c r="D121" s="35" t="s">
        <v>13</v>
      </c>
    </row>
    <row r="122" spans="1:4" x14ac:dyDescent="0.25">
      <c r="A122" s="26" t="s">
        <v>14</v>
      </c>
      <c r="B122" s="27" t="s">
        <v>69</v>
      </c>
      <c r="C122" s="18"/>
      <c r="D122" s="120">
        <f>Uniformes!P68</f>
        <v>29.754294999999999</v>
      </c>
    </row>
    <row r="123" spans="1:4" x14ac:dyDescent="0.25">
      <c r="A123" s="26" t="s">
        <v>16</v>
      </c>
      <c r="B123" s="27" t="s">
        <v>70</v>
      </c>
      <c r="C123" s="18"/>
      <c r="D123" s="22">
        <v>0</v>
      </c>
    </row>
    <row r="124" spans="1:4" x14ac:dyDescent="0.25">
      <c r="A124" s="26" t="s">
        <v>18</v>
      </c>
      <c r="B124" s="27" t="s">
        <v>89</v>
      </c>
      <c r="C124" s="18"/>
      <c r="D124" s="48"/>
    </row>
    <row r="125" spans="1:4" ht="31.5" x14ac:dyDescent="0.25">
      <c r="A125" s="26" t="s">
        <v>20</v>
      </c>
      <c r="B125" s="27" t="s">
        <v>338</v>
      </c>
      <c r="C125" s="18"/>
      <c r="D125" s="22">
        <f>155/103</f>
        <v>1.5048543689320388</v>
      </c>
    </row>
    <row r="126" spans="1:4" x14ac:dyDescent="0.25">
      <c r="A126" s="219" t="s">
        <v>42</v>
      </c>
      <c r="B126" s="219"/>
      <c r="C126" s="18"/>
      <c r="D126" s="48">
        <f>SUM(D122:D125)</f>
        <v>31.259149368932039</v>
      </c>
    </row>
    <row r="129" spans="1:6" x14ac:dyDescent="0.25">
      <c r="A129" s="229" t="s">
        <v>71</v>
      </c>
      <c r="B129" s="229"/>
      <c r="C129" s="229"/>
      <c r="D129" s="229"/>
    </row>
    <row r="130" spans="1:6" ht="16.5" thickBot="1" x14ac:dyDescent="0.3"/>
    <row r="131" spans="1:6" ht="16.5" thickBot="1" x14ac:dyDescent="0.3">
      <c r="A131" s="3">
        <v>6</v>
      </c>
      <c r="B131" s="7" t="s">
        <v>7</v>
      </c>
      <c r="C131" s="34" t="s">
        <v>35</v>
      </c>
      <c r="D131" s="34" t="s">
        <v>13</v>
      </c>
    </row>
    <row r="132" spans="1:6" ht="16.5" thickBot="1" x14ac:dyDescent="0.3">
      <c r="A132" s="4" t="s">
        <v>14</v>
      </c>
      <c r="B132" s="5" t="s">
        <v>8</v>
      </c>
      <c r="C132" s="14">
        <f>'Media de custo com mão de obra'!T14</f>
        <v>1.66E-2</v>
      </c>
      <c r="D132" s="11">
        <f>(D25+D74+D86+D116+D126)*C132</f>
        <v>60.476015288791181</v>
      </c>
    </row>
    <row r="133" spans="1:6" ht="16.5" thickBot="1" x14ac:dyDescent="0.3">
      <c r="A133" s="4" t="s">
        <v>131</v>
      </c>
      <c r="B133" s="5" t="s">
        <v>345</v>
      </c>
      <c r="C133" s="14"/>
      <c r="D133" s="11">
        <v>75</v>
      </c>
    </row>
    <row r="134" spans="1:6" ht="16.5" thickBot="1" x14ac:dyDescent="0.3">
      <c r="A134" s="4" t="s">
        <v>16</v>
      </c>
      <c r="B134" s="5" t="s">
        <v>10</v>
      </c>
      <c r="C134" s="14">
        <f>'Media de custo com mão de obra'!T15</f>
        <v>2.4500000000000001E-2</v>
      </c>
      <c r="D134" s="11">
        <f>(D25+D74+D86+D116+D126+D132+D133)*C134</f>
        <v>92.575931927309355</v>
      </c>
    </row>
    <row r="135" spans="1:6" ht="16.5" thickBot="1" x14ac:dyDescent="0.3">
      <c r="A135" s="4" t="s">
        <v>18</v>
      </c>
      <c r="B135" s="5" t="s">
        <v>9</v>
      </c>
      <c r="C135" s="14">
        <f>SUM(C136,C138)</f>
        <v>0.14250000000000002</v>
      </c>
      <c r="D135" s="11">
        <f>((D25+D74+D86+D116+D126+D132+D133+D134)/(1-(C135)))*C135</f>
        <v>643.31652392373678</v>
      </c>
    </row>
    <row r="136" spans="1:6" ht="16.5" thickBot="1" x14ac:dyDescent="0.3">
      <c r="A136" s="4"/>
      <c r="B136" s="5" t="s">
        <v>90</v>
      </c>
      <c r="C136" s="14">
        <f>1.65%+7.6%</f>
        <v>9.2499999999999999E-2</v>
      </c>
      <c r="D136" s="11">
        <f>((D25+D74+D86+D116+D126+D132+D133+D134)/(1-(C135)))*C136</f>
        <v>417.59142781014486</v>
      </c>
    </row>
    <row r="137" spans="1:6" ht="16.5" thickBot="1" x14ac:dyDescent="0.3">
      <c r="A137" s="4"/>
      <c r="B137" s="5" t="s">
        <v>72</v>
      </c>
      <c r="C137" s="14">
        <v>0</v>
      </c>
      <c r="D137" s="11"/>
      <c r="F137" s="54">
        <f>D136+D138</f>
        <v>643.31652392373667</v>
      </c>
    </row>
    <row r="138" spans="1:6" ht="16.5" thickBot="1" x14ac:dyDescent="0.3">
      <c r="A138" s="4"/>
      <c r="B138" s="5" t="s">
        <v>73</v>
      </c>
      <c r="C138" s="14">
        <v>0.05</v>
      </c>
      <c r="D138" s="11">
        <f>((D25+D74+D86+D116+D126+D132+D133+D134)/(1-(C135)))*C138</f>
        <v>225.72509611359183</v>
      </c>
    </row>
    <row r="139" spans="1:6" ht="16.5" thickBot="1" x14ac:dyDescent="0.3">
      <c r="A139" s="220" t="s">
        <v>42</v>
      </c>
      <c r="B139" s="221"/>
      <c r="C139" s="14">
        <f>SUM(C132:C135)</f>
        <v>0.18360000000000001</v>
      </c>
      <c r="D139" s="11">
        <f>SUM(D132:D135)</f>
        <v>871.36847113983731</v>
      </c>
    </row>
    <row r="142" spans="1:6" x14ac:dyDescent="0.25">
      <c r="A142" s="229" t="s">
        <v>74</v>
      </c>
      <c r="B142" s="229"/>
      <c r="C142" s="229"/>
      <c r="D142" s="229"/>
    </row>
    <row r="143" spans="1:6" ht="16.5" thickBot="1" x14ac:dyDescent="0.3"/>
    <row r="144" spans="1:6" ht="16.5" thickBot="1" x14ac:dyDescent="0.3">
      <c r="A144" s="3"/>
      <c r="B144" s="34" t="s">
        <v>75</v>
      </c>
      <c r="C144" s="34"/>
      <c r="D144" s="34" t="s">
        <v>13</v>
      </c>
    </row>
    <row r="145" spans="1:7" ht="16.5" thickBot="1" x14ac:dyDescent="0.3">
      <c r="A145" s="9" t="s">
        <v>14</v>
      </c>
      <c r="B145" s="5" t="s">
        <v>11</v>
      </c>
      <c r="C145" s="14"/>
      <c r="D145" s="12">
        <f>D25</f>
        <v>1586.8679999999999</v>
      </c>
    </row>
    <row r="146" spans="1:7" ht="16.5" thickBot="1" x14ac:dyDescent="0.3">
      <c r="A146" s="9" t="s">
        <v>16</v>
      </c>
      <c r="B146" s="5" t="s">
        <v>26</v>
      </c>
      <c r="C146" s="14"/>
      <c r="D146" s="12">
        <f>D74</f>
        <v>1667.822232</v>
      </c>
    </row>
    <row r="147" spans="1:7" ht="16.5" thickBot="1" x14ac:dyDescent="0.3">
      <c r="A147" s="9" t="s">
        <v>18</v>
      </c>
      <c r="B147" s="5" t="s">
        <v>48</v>
      </c>
      <c r="C147" s="14"/>
      <c r="D147" s="12">
        <f>D86</f>
        <v>112.7869604736</v>
      </c>
    </row>
    <row r="148" spans="1:7" ht="16.5" thickBot="1" x14ac:dyDescent="0.3">
      <c r="A148" s="9" t="s">
        <v>20</v>
      </c>
      <c r="B148" s="5" t="s">
        <v>56</v>
      </c>
      <c r="C148" s="14"/>
      <c r="D148" s="12">
        <f>D116</f>
        <v>244.3971092894667</v>
      </c>
    </row>
    <row r="149" spans="1:7" ht="16.5" thickBot="1" x14ac:dyDescent="0.3">
      <c r="A149" s="9" t="s">
        <v>21</v>
      </c>
      <c r="B149" s="5" t="s">
        <v>68</v>
      </c>
      <c r="C149" s="14"/>
      <c r="D149" s="12">
        <f>D126</f>
        <v>31.259149368932039</v>
      </c>
    </row>
    <row r="150" spans="1:7" ht="16.5" thickBot="1" x14ac:dyDescent="0.3">
      <c r="A150" s="220" t="s">
        <v>76</v>
      </c>
      <c r="B150" s="221"/>
      <c r="C150" s="14"/>
      <c r="D150" s="12">
        <f>SUM(D145:D149)</f>
        <v>3643.1334511319988</v>
      </c>
    </row>
    <row r="151" spans="1:7" ht="16.5" thickBot="1" x14ac:dyDescent="0.3">
      <c r="A151" s="9" t="s">
        <v>23</v>
      </c>
      <c r="B151" s="5" t="s">
        <v>77</v>
      </c>
      <c r="C151" s="14"/>
      <c r="D151" s="12">
        <f>D139</f>
        <v>871.36847113983731</v>
      </c>
    </row>
    <row r="152" spans="1:7" ht="16.5" thickBot="1" x14ac:dyDescent="0.3">
      <c r="A152" s="220" t="s">
        <v>78</v>
      </c>
      <c r="B152" s="221"/>
      <c r="D152" s="12">
        <f>SUM(D150:D151)</f>
        <v>4514.5019222718365</v>
      </c>
      <c r="F152" s="201">
        <v>4424.8999999999996</v>
      </c>
      <c r="G152" s="54">
        <f>D152-F152</f>
        <v>89.601922271836884</v>
      </c>
    </row>
  </sheetData>
  <mergeCells count="43">
    <mergeCell ref="A89:D89"/>
    <mergeCell ref="A41:D41"/>
    <mergeCell ref="A1:D1"/>
    <mergeCell ref="A2:D2"/>
    <mergeCell ref="A3:D3"/>
    <mergeCell ref="A15:D15"/>
    <mergeCell ref="A25:B25"/>
    <mergeCell ref="A28:D28"/>
    <mergeCell ref="A30:D30"/>
    <mergeCell ref="A35:B35"/>
    <mergeCell ref="A37:D37"/>
    <mergeCell ref="A38:D38"/>
    <mergeCell ref="A39:D39"/>
    <mergeCell ref="A5:D5"/>
    <mergeCell ref="C6:D6"/>
    <mergeCell ref="C7:D7"/>
    <mergeCell ref="C8:D8"/>
    <mergeCell ref="A86:B86"/>
    <mergeCell ref="A52:B52"/>
    <mergeCell ref="A54:D54"/>
    <mergeCell ref="A55:D55"/>
    <mergeCell ref="A56:D56"/>
    <mergeCell ref="A58:D58"/>
    <mergeCell ref="A65:B65"/>
    <mergeCell ref="A68:D68"/>
    <mergeCell ref="A74:B74"/>
    <mergeCell ref="A77:D77"/>
    <mergeCell ref="C9:D9"/>
    <mergeCell ref="C10:D10"/>
    <mergeCell ref="C11:D11"/>
    <mergeCell ref="A92:D92"/>
    <mergeCell ref="A152:B152"/>
    <mergeCell ref="A101:B101"/>
    <mergeCell ref="A104:D104"/>
    <mergeCell ref="A108:B108"/>
    <mergeCell ref="A111:D111"/>
    <mergeCell ref="A116:B116"/>
    <mergeCell ref="A119:D119"/>
    <mergeCell ref="A126:B126"/>
    <mergeCell ref="A129:D129"/>
    <mergeCell ref="A139:B139"/>
    <mergeCell ref="A142:D142"/>
    <mergeCell ref="A150:B150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  <rowBreaks count="3" manualBreakCount="3">
    <brk id="57" max="4" man="1"/>
    <brk id="75" max="16383" man="1"/>
    <brk id="14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4CED35-D93B-4B7B-B263-D90747F1D403}">
  <sheetPr>
    <pageSetUpPr fitToPage="1"/>
  </sheetPr>
  <dimension ref="A1:F151"/>
  <sheetViews>
    <sheetView showGridLines="0" view="pageBreakPreview" topLeftCell="A115" zoomScaleNormal="115" zoomScaleSheetLayoutView="100" workbookViewId="0">
      <selection activeCell="B153" sqref="B153"/>
    </sheetView>
  </sheetViews>
  <sheetFormatPr defaultColWidth="9.140625" defaultRowHeight="15.75" x14ac:dyDescent="0.25"/>
  <cols>
    <col min="1" max="1" width="9.140625" style="8"/>
    <col min="2" max="2" width="72.140625" style="8" customWidth="1"/>
    <col min="3" max="3" width="20" style="8" customWidth="1"/>
    <col min="4" max="4" width="15.7109375" style="8" customWidth="1"/>
    <col min="5" max="5" width="12.7109375" style="8" hidden="1" customWidth="1"/>
    <col min="6" max="6" width="38.42578125" style="8" customWidth="1"/>
    <col min="7" max="7" width="15.140625" style="8" customWidth="1"/>
    <col min="8" max="16384" width="9.140625" style="8"/>
  </cols>
  <sheetData>
    <row r="1" spans="1:6" ht="23.25" x14ac:dyDescent="0.35">
      <c r="A1" s="232" t="s">
        <v>79</v>
      </c>
      <c r="B1" s="232"/>
      <c r="C1" s="232"/>
      <c r="D1" s="232"/>
    </row>
    <row r="2" spans="1:6" ht="23.25" x14ac:dyDescent="0.35">
      <c r="A2" s="232" t="s">
        <v>80</v>
      </c>
      <c r="B2" s="232"/>
      <c r="C2" s="232"/>
      <c r="D2" s="232"/>
    </row>
    <row r="3" spans="1:6" x14ac:dyDescent="0.25">
      <c r="A3" s="233" t="s">
        <v>81</v>
      </c>
      <c r="B3" s="233"/>
      <c r="C3" s="233"/>
      <c r="D3" s="233"/>
    </row>
    <row r="4" spans="1:6" x14ac:dyDescent="0.25">
      <c r="A4" s="67"/>
      <c r="B4" s="67"/>
      <c r="C4" s="67"/>
      <c r="D4" s="67"/>
    </row>
    <row r="5" spans="1:6" x14ac:dyDescent="0.25">
      <c r="A5" s="235" t="s">
        <v>135</v>
      </c>
      <c r="B5" s="235"/>
      <c r="C5" s="235"/>
      <c r="D5" s="235"/>
    </row>
    <row r="6" spans="1:6" x14ac:dyDescent="0.25">
      <c r="A6" s="26" t="s">
        <v>14</v>
      </c>
      <c r="B6" s="62" t="s">
        <v>137</v>
      </c>
      <c r="C6" s="224" t="s">
        <v>150</v>
      </c>
      <c r="D6" s="225"/>
    </row>
    <row r="7" spans="1:6" x14ac:dyDescent="0.25">
      <c r="A7" s="26" t="s">
        <v>16</v>
      </c>
      <c r="B7" s="62" t="s">
        <v>141</v>
      </c>
      <c r="C7" s="224" t="s">
        <v>155</v>
      </c>
      <c r="D7" s="225"/>
    </row>
    <row r="8" spans="1:6" x14ac:dyDescent="0.25">
      <c r="A8" s="26" t="s">
        <v>18</v>
      </c>
      <c r="B8" s="62" t="s">
        <v>140</v>
      </c>
      <c r="C8" s="241">
        <v>2119</v>
      </c>
      <c r="D8" s="223"/>
      <c r="F8" s="8">
        <v>2117</v>
      </c>
    </row>
    <row r="9" spans="1:6" x14ac:dyDescent="0.25">
      <c r="A9" s="26" t="s">
        <v>20</v>
      </c>
      <c r="B9" s="62" t="s">
        <v>138</v>
      </c>
      <c r="C9" s="224" t="s">
        <v>286</v>
      </c>
      <c r="D9" s="225"/>
    </row>
    <row r="10" spans="1:6" x14ac:dyDescent="0.25">
      <c r="A10" s="26" t="s">
        <v>21</v>
      </c>
      <c r="B10" s="62" t="s">
        <v>139</v>
      </c>
      <c r="C10" s="230">
        <v>45658</v>
      </c>
      <c r="D10" s="225"/>
    </row>
    <row r="11" spans="1:6" x14ac:dyDescent="0.25">
      <c r="A11" s="26" t="s">
        <v>23</v>
      </c>
      <c r="B11" s="62" t="s">
        <v>136</v>
      </c>
      <c r="C11" s="224">
        <v>12</v>
      </c>
      <c r="D11" s="225"/>
    </row>
    <row r="12" spans="1:6" x14ac:dyDescent="0.25">
      <c r="A12" s="67"/>
      <c r="B12" s="67"/>
      <c r="C12" s="67"/>
      <c r="D12" s="67"/>
    </row>
    <row r="13" spans="1:6" x14ac:dyDescent="0.25">
      <c r="A13" s="67"/>
      <c r="B13" s="67"/>
      <c r="C13" s="67"/>
      <c r="D13" s="67"/>
    </row>
    <row r="14" spans="1:6" ht="6" customHeight="1" x14ac:dyDescent="0.25"/>
    <row r="15" spans="1:6" x14ac:dyDescent="0.25">
      <c r="A15" s="234" t="s">
        <v>11</v>
      </c>
      <c r="B15" s="234"/>
      <c r="C15" s="234"/>
      <c r="D15" s="234"/>
    </row>
    <row r="17" spans="1:6" x14ac:dyDescent="0.25">
      <c r="A17" s="66">
        <v>1</v>
      </c>
      <c r="B17" s="66" t="s">
        <v>12</v>
      </c>
      <c r="C17" s="18"/>
      <c r="D17" s="66" t="s">
        <v>13</v>
      </c>
    </row>
    <row r="18" spans="1:6" ht="16.5" thickBot="1" x14ac:dyDescent="0.3">
      <c r="A18" s="26" t="s">
        <v>14</v>
      </c>
      <c r="B18" s="27" t="s">
        <v>15</v>
      </c>
      <c r="C18" s="18"/>
      <c r="D18" s="11">
        <f>C8</f>
        <v>2119</v>
      </c>
    </row>
    <row r="19" spans="1:6" x14ac:dyDescent="0.25">
      <c r="A19" s="26" t="s">
        <v>16</v>
      </c>
      <c r="B19" s="27" t="s">
        <v>17</v>
      </c>
      <c r="C19" s="18"/>
      <c r="D19" s="22"/>
    </row>
    <row r="20" spans="1:6" x14ac:dyDescent="0.25">
      <c r="A20" s="26" t="s">
        <v>18</v>
      </c>
      <c r="B20" s="27" t="s">
        <v>19</v>
      </c>
      <c r="C20" s="18"/>
      <c r="D20" s="22"/>
    </row>
    <row r="21" spans="1:6" x14ac:dyDescent="0.25">
      <c r="A21" s="26" t="s">
        <v>20</v>
      </c>
      <c r="B21" s="27" t="s">
        <v>0</v>
      </c>
      <c r="C21" s="18"/>
      <c r="D21" s="22"/>
    </row>
    <row r="22" spans="1:6" x14ac:dyDescent="0.25">
      <c r="A22" s="26" t="s">
        <v>21</v>
      </c>
      <c r="B22" s="27" t="s">
        <v>22</v>
      </c>
      <c r="C22" s="18"/>
      <c r="D22" s="22"/>
    </row>
    <row r="23" spans="1:6" x14ac:dyDescent="0.25">
      <c r="A23" s="26"/>
      <c r="B23" s="27"/>
      <c r="C23" s="18"/>
      <c r="D23" s="22"/>
    </row>
    <row r="24" spans="1:6" x14ac:dyDescent="0.25">
      <c r="A24" s="26" t="s">
        <v>24</v>
      </c>
      <c r="B24" s="27" t="s">
        <v>25</v>
      </c>
      <c r="C24" s="18"/>
      <c r="D24" s="22"/>
    </row>
    <row r="25" spans="1:6" x14ac:dyDescent="0.25">
      <c r="A25" s="219" t="s">
        <v>1</v>
      </c>
      <c r="B25" s="219"/>
      <c r="C25" s="18"/>
      <c r="D25" s="120">
        <f>SUM(D18:D24)</f>
        <v>2119</v>
      </c>
      <c r="F25" s="146"/>
    </row>
    <row r="27" spans="1:6" ht="5.45" customHeight="1" x14ac:dyDescent="0.25"/>
    <row r="28" spans="1:6" x14ac:dyDescent="0.25">
      <c r="A28" s="229" t="s">
        <v>26</v>
      </c>
      <c r="B28" s="229"/>
      <c r="C28" s="229"/>
      <c r="D28" s="229"/>
    </row>
    <row r="29" spans="1:6" x14ac:dyDescent="0.25">
      <c r="A29" s="2"/>
    </row>
    <row r="30" spans="1:6" x14ac:dyDescent="0.25">
      <c r="A30" s="228" t="s">
        <v>27</v>
      </c>
      <c r="B30" s="228"/>
      <c r="C30" s="228"/>
      <c r="D30" s="228"/>
    </row>
    <row r="31" spans="1:6" ht="16.5" thickBot="1" x14ac:dyDescent="0.3"/>
    <row r="32" spans="1:6" ht="16.5" thickBot="1" x14ac:dyDescent="0.3">
      <c r="A32" s="3" t="s">
        <v>28</v>
      </c>
      <c r="B32" s="68" t="s">
        <v>29</v>
      </c>
      <c r="C32" s="20" t="s">
        <v>91</v>
      </c>
      <c r="D32" s="21" t="s">
        <v>13</v>
      </c>
    </row>
    <row r="33" spans="1:4" ht="16.5" thickBot="1" x14ac:dyDescent="0.3">
      <c r="A33" s="4" t="s">
        <v>14</v>
      </c>
      <c r="B33" s="19" t="s">
        <v>30</v>
      </c>
      <c r="C33" s="23">
        <f>1/12</f>
        <v>8.3333333333333329E-2</v>
      </c>
      <c r="D33" s="22">
        <f>C33*D25</f>
        <v>176.58333333333331</v>
      </c>
    </row>
    <row r="34" spans="1:4" ht="16.5" thickBot="1" x14ac:dyDescent="0.3">
      <c r="A34" s="4" t="s">
        <v>16</v>
      </c>
      <c r="B34" s="19" t="s">
        <v>31</v>
      </c>
      <c r="C34" s="24">
        <f>1/12+1/12*1/3</f>
        <v>0.1111111111111111</v>
      </c>
      <c r="D34" s="22">
        <f>D25*C34</f>
        <v>235.44444444444443</v>
      </c>
    </row>
    <row r="35" spans="1:4" ht="16.5" thickBot="1" x14ac:dyDescent="0.3">
      <c r="A35" s="220" t="s">
        <v>1</v>
      </c>
      <c r="B35" s="227"/>
      <c r="C35" s="23">
        <f>SUM(C33:C34)</f>
        <v>0.19444444444444442</v>
      </c>
      <c r="D35" s="22">
        <f>SUM(D33:D34)</f>
        <v>412.02777777777771</v>
      </c>
    </row>
    <row r="36" spans="1:4" ht="3" customHeight="1" x14ac:dyDescent="0.25"/>
    <row r="37" spans="1:4" ht="62.45" customHeight="1" x14ac:dyDescent="0.25">
      <c r="A37" s="226" t="s">
        <v>92</v>
      </c>
      <c r="B37" s="226"/>
      <c r="C37" s="226"/>
      <c r="D37" s="226"/>
    </row>
    <row r="38" spans="1:4" ht="56.45" customHeight="1" x14ac:dyDescent="0.25">
      <c r="A38" s="226" t="s">
        <v>93</v>
      </c>
      <c r="B38" s="226"/>
      <c r="C38" s="226"/>
      <c r="D38" s="226"/>
    </row>
    <row r="39" spans="1:4" ht="65.45" customHeight="1" x14ac:dyDescent="0.25">
      <c r="A39" s="226" t="s">
        <v>94</v>
      </c>
      <c r="B39" s="226"/>
      <c r="C39" s="226"/>
      <c r="D39" s="226"/>
    </row>
    <row r="40" spans="1:4" ht="3.6" customHeight="1" x14ac:dyDescent="0.25"/>
    <row r="41" spans="1:4" ht="32.25" customHeight="1" x14ac:dyDescent="0.25">
      <c r="A41" s="231" t="s">
        <v>32</v>
      </c>
      <c r="B41" s="231"/>
      <c r="C41" s="231"/>
      <c r="D41" s="231"/>
    </row>
    <row r="42" spans="1:4" ht="16.5" thickBot="1" x14ac:dyDescent="0.3"/>
    <row r="43" spans="1:4" ht="16.5" thickBot="1" x14ac:dyDescent="0.3">
      <c r="A43" s="3" t="s">
        <v>33</v>
      </c>
      <c r="B43" s="65" t="s">
        <v>34</v>
      </c>
      <c r="C43" s="65" t="s">
        <v>35</v>
      </c>
      <c r="D43" s="65" t="s">
        <v>13</v>
      </c>
    </row>
    <row r="44" spans="1:4" ht="16.5" thickBot="1" x14ac:dyDescent="0.3">
      <c r="A44" s="4" t="s">
        <v>14</v>
      </c>
      <c r="B44" s="5" t="s">
        <v>36</v>
      </c>
      <c r="C44" s="6">
        <v>0.2</v>
      </c>
      <c r="D44" s="11">
        <f t="shared" ref="D44:D51" si="0">($D$25+$D$35)*C44</f>
        <v>506.20555555555558</v>
      </c>
    </row>
    <row r="45" spans="1:4" ht="16.5" thickBot="1" x14ac:dyDescent="0.3">
      <c r="A45" s="4" t="s">
        <v>16</v>
      </c>
      <c r="B45" s="5" t="s">
        <v>37</v>
      </c>
      <c r="C45" s="6">
        <v>2.5000000000000001E-2</v>
      </c>
      <c r="D45" s="11">
        <f t="shared" si="0"/>
        <v>63.275694444444447</v>
      </c>
    </row>
    <row r="46" spans="1:4" ht="16.5" thickBot="1" x14ac:dyDescent="0.3">
      <c r="A46" s="4" t="s">
        <v>18</v>
      </c>
      <c r="B46" s="5" t="s">
        <v>38</v>
      </c>
      <c r="C46" s="13">
        <v>0.03</v>
      </c>
      <c r="D46" s="11">
        <f t="shared" si="0"/>
        <v>75.930833333333325</v>
      </c>
    </row>
    <row r="47" spans="1:4" ht="16.5" thickBot="1" x14ac:dyDescent="0.3">
      <c r="A47" s="4" t="s">
        <v>20</v>
      </c>
      <c r="B47" s="5" t="s">
        <v>39</v>
      </c>
      <c r="C47" s="6">
        <v>1.4999999999999999E-2</v>
      </c>
      <c r="D47" s="11">
        <f t="shared" si="0"/>
        <v>37.965416666666663</v>
      </c>
    </row>
    <row r="48" spans="1:4" ht="16.5" thickBot="1" x14ac:dyDescent="0.3">
      <c r="A48" s="4" t="s">
        <v>21</v>
      </c>
      <c r="B48" s="5" t="s">
        <v>40</v>
      </c>
      <c r="C48" s="6">
        <v>0.01</v>
      </c>
      <c r="D48" s="11">
        <f t="shared" si="0"/>
        <v>25.310277777777777</v>
      </c>
    </row>
    <row r="49" spans="1:4" ht="16.5" thickBot="1" x14ac:dyDescent="0.3">
      <c r="A49" s="4" t="s">
        <v>23</v>
      </c>
      <c r="B49" s="5" t="s">
        <v>3</v>
      </c>
      <c r="C49" s="6">
        <v>6.0000000000000001E-3</v>
      </c>
      <c r="D49" s="11">
        <f t="shared" si="0"/>
        <v>15.186166666666667</v>
      </c>
    </row>
    <row r="50" spans="1:4" ht="16.5" thickBot="1" x14ac:dyDescent="0.3">
      <c r="A50" s="4" t="s">
        <v>24</v>
      </c>
      <c r="B50" s="5" t="s">
        <v>4</v>
      </c>
      <c r="C50" s="6">
        <v>2E-3</v>
      </c>
      <c r="D50" s="11">
        <f t="shared" si="0"/>
        <v>5.0620555555555562</v>
      </c>
    </row>
    <row r="51" spans="1:4" ht="16.5" thickBot="1" x14ac:dyDescent="0.3">
      <c r="A51" s="4" t="s">
        <v>41</v>
      </c>
      <c r="B51" s="5" t="s">
        <v>5</v>
      </c>
      <c r="C51" s="6">
        <v>0.08</v>
      </c>
      <c r="D51" s="11">
        <f t="shared" si="0"/>
        <v>202.48222222222222</v>
      </c>
    </row>
    <row r="52" spans="1:4" ht="16.5" thickBot="1" x14ac:dyDescent="0.3">
      <c r="A52" s="220" t="s">
        <v>42</v>
      </c>
      <c r="B52" s="221"/>
      <c r="C52" s="6">
        <f>SUM(C44:C51)</f>
        <v>0.36800000000000005</v>
      </c>
      <c r="D52" s="11">
        <f>SUM(D44:D51)</f>
        <v>931.41822222222208</v>
      </c>
    </row>
    <row r="53" spans="1:4" ht="7.9" customHeight="1" x14ac:dyDescent="0.25"/>
    <row r="54" spans="1:4" ht="30.6" customHeight="1" x14ac:dyDescent="0.25">
      <c r="A54" s="226" t="s">
        <v>95</v>
      </c>
      <c r="B54" s="226"/>
      <c r="C54" s="226"/>
      <c r="D54" s="226"/>
    </row>
    <row r="55" spans="1:4" ht="37.15" customHeight="1" x14ac:dyDescent="0.25">
      <c r="A55" s="226" t="s">
        <v>96</v>
      </c>
      <c r="B55" s="226"/>
      <c r="C55" s="226"/>
      <c r="D55" s="226"/>
    </row>
    <row r="56" spans="1:4" ht="37.15" customHeight="1" x14ac:dyDescent="0.25">
      <c r="A56" s="226" t="s">
        <v>97</v>
      </c>
      <c r="B56" s="226"/>
      <c r="C56" s="226"/>
      <c r="D56" s="226"/>
    </row>
    <row r="57" spans="1:4" ht="6" customHeight="1" x14ac:dyDescent="0.25"/>
    <row r="58" spans="1:4" x14ac:dyDescent="0.25">
      <c r="A58" s="228" t="s">
        <v>43</v>
      </c>
      <c r="B58" s="228"/>
      <c r="C58" s="228"/>
      <c r="D58" s="228"/>
    </row>
    <row r="59" spans="1:4" ht="16.5" thickBot="1" x14ac:dyDescent="0.3"/>
    <row r="60" spans="1:4" ht="16.5" thickBot="1" x14ac:dyDescent="0.3">
      <c r="A60" s="66" t="s">
        <v>44</v>
      </c>
      <c r="B60" s="66" t="s">
        <v>45</v>
      </c>
      <c r="C60" s="65"/>
      <c r="D60" s="66" t="s">
        <v>13</v>
      </c>
    </row>
    <row r="61" spans="1:4" x14ac:dyDescent="0.25">
      <c r="A61" s="26" t="s">
        <v>14</v>
      </c>
      <c r="B61" s="27" t="s">
        <v>293</v>
      </c>
      <c r="C61" s="18"/>
      <c r="D61" s="22">
        <f>(4.6*22*2)-(D18*6%)</f>
        <v>75.259999999999977</v>
      </c>
    </row>
    <row r="62" spans="1:4" x14ac:dyDescent="0.25">
      <c r="A62" s="26" t="s">
        <v>16</v>
      </c>
      <c r="B62" s="27" t="s">
        <v>288</v>
      </c>
      <c r="C62" s="18"/>
      <c r="D62" s="22">
        <f>26.7*22-(0.1*26.7*22)</f>
        <v>528.66</v>
      </c>
    </row>
    <row r="63" spans="1:4" x14ac:dyDescent="0.25">
      <c r="A63" s="26" t="s">
        <v>18</v>
      </c>
      <c r="B63" s="27" t="s">
        <v>88</v>
      </c>
      <c r="C63" s="18"/>
      <c r="D63" s="22">
        <v>6</v>
      </c>
    </row>
    <row r="64" spans="1:4" x14ac:dyDescent="0.25">
      <c r="A64" s="26" t="s">
        <v>20</v>
      </c>
      <c r="B64" s="27" t="s">
        <v>158</v>
      </c>
      <c r="C64" s="18"/>
      <c r="D64" s="22">
        <v>19.899999999999999</v>
      </c>
    </row>
    <row r="65" spans="1:4" x14ac:dyDescent="0.25">
      <c r="A65" s="219" t="s">
        <v>1</v>
      </c>
      <c r="B65" s="219"/>
      <c r="C65" s="18"/>
      <c r="D65" s="22">
        <f>SUM(D61:D64)</f>
        <v>629.81999999999994</v>
      </c>
    </row>
    <row r="68" spans="1:4" x14ac:dyDescent="0.25">
      <c r="A68" s="228" t="s">
        <v>46</v>
      </c>
      <c r="B68" s="228"/>
      <c r="C68" s="228"/>
      <c r="D68" s="228"/>
    </row>
    <row r="69" spans="1:4" ht="16.5" thickBot="1" x14ac:dyDescent="0.3"/>
    <row r="70" spans="1:4" ht="16.5" thickBot="1" x14ac:dyDescent="0.3">
      <c r="A70" s="66">
        <v>2</v>
      </c>
      <c r="B70" s="66" t="s">
        <v>47</v>
      </c>
      <c r="C70" s="65" t="s">
        <v>35</v>
      </c>
      <c r="D70" s="66" t="s">
        <v>13</v>
      </c>
    </row>
    <row r="71" spans="1:4" x14ac:dyDescent="0.25">
      <c r="A71" s="26" t="s">
        <v>28</v>
      </c>
      <c r="B71" s="27" t="s">
        <v>29</v>
      </c>
      <c r="C71" s="18"/>
      <c r="D71" s="22">
        <f>D35</f>
        <v>412.02777777777771</v>
      </c>
    </row>
    <row r="72" spans="1:4" x14ac:dyDescent="0.25">
      <c r="A72" s="26" t="s">
        <v>33</v>
      </c>
      <c r="B72" s="27" t="s">
        <v>34</v>
      </c>
      <c r="C72" s="18"/>
      <c r="D72" s="22">
        <f>D52</f>
        <v>931.41822222222208</v>
      </c>
    </row>
    <row r="73" spans="1:4" x14ac:dyDescent="0.25">
      <c r="A73" s="26" t="s">
        <v>44</v>
      </c>
      <c r="B73" s="27" t="s">
        <v>45</v>
      </c>
      <c r="C73" s="18"/>
      <c r="D73" s="22">
        <f>D65</f>
        <v>629.81999999999994</v>
      </c>
    </row>
    <row r="74" spans="1:4" x14ac:dyDescent="0.25">
      <c r="A74" s="219" t="s">
        <v>1</v>
      </c>
      <c r="B74" s="219"/>
      <c r="C74" s="18"/>
      <c r="D74" s="29">
        <f>SUM(D71:D73)</f>
        <v>1973.2659999999998</v>
      </c>
    </row>
    <row r="75" spans="1:4" x14ac:dyDescent="0.25">
      <c r="A75" s="1"/>
    </row>
    <row r="77" spans="1:4" x14ac:dyDescent="0.25">
      <c r="A77" s="229" t="s">
        <v>48</v>
      </c>
      <c r="B77" s="229"/>
      <c r="C77" s="229"/>
      <c r="D77" s="229"/>
    </row>
    <row r="78" spans="1:4" ht="16.5" thickBot="1" x14ac:dyDescent="0.3"/>
    <row r="79" spans="1:4" ht="16.5" thickBot="1" x14ac:dyDescent="0.3">
      <c r="A79" s="66">
        <v>3</v>
      </c>
      <c r="B79" s="66" t="s">
        <v>49</v>
      </c>
      <c r="C79" s="65" t="s">
        <v>35</v>
      </c>
      <c r="D79" s="66" t="s">
        <v>13</v>
      </c>
    </row>
    <row r="80" spans="1:4" x14ac:dyDescent="0.25">
      <c r="A80" s="26" t="s">
        <v>14</v>
      </c>
      <c r="B80" s="28" t="s">
        <v>50</v>
      </c>
      <c r="C80" s="24">
        <f>'Media de custo com mão de obra'!T5</f>
        <v>4.1999999999999997E-3</v>
      </c>
      <c r="D80" s="22">
        <f>C80*$D$25</f>
        <v>8.899799999999999</v>
      </c>
    </row>
    <row r="81" spans="1:4" x14ac:dyDescent="0.25">
      <c r="A81" s="26" t="s">
        <v>16</v>
      </c>
      <c r="B81" s="28" t="s">
        <v>51</v>
      </c>
      <c r="C81" s="24">
        <f>C80*C51</f>
        <v>3.3599999999999998E-4</v>
      </c>
      <c r="D81" s="22">
        <f t="shared" ref="D81:D85" si="1">C81*$D$25</f>
        <v>0.71198399999999995</v>
      </c>
    </row>
    <row r="82" spans="1:4" x14ac:dyDescent="0.25">
      <c r="A82" s="26" t="s">
        <v>18</v>
      </c>
      <c r="B82" s="28" t="s">
        <v>52</v>
      </c>
      <c r="C82" s="24">
        <v>0.02</v>
      </c>
      <c r="D82" s="22">
        <f t="shared" si="1"/>
        <v>42.38</v>
      </c>
    </row>
    <row r="83" spans="1:4" x14ac:dyDescent="0.25">
      <c r="A83" s="26" t="s">
        <v>20</v>
      </c>
      <c r="B83" s="28" t="s">
        <v>53</v>
      </c>
      <c r="C83" s="24">
        <f>'Media de custo com mão de obra'!T6</f>
        <v>1.9400000000000001E-2</v>
      </c>
      <c r="D83" s="22">
        <f t="shared" si="1"/>
        <v>41.108600000000003</v>
      </c>
    </row>
    <row r="84" spans="1:4" x14ac:dyDescent="0.25">
      <c r="A84" s="26" t="s">
        <v>21</v>
      </c>
      <c r="B84" s="28" t="s">
        <v>54</v>
      </c>
      <c r="C84" s="24">
        <f>C83*C52</f>
        <v>7.1392000000000009E-3</v>
      </c>
      <c r="D84" s="22">
        <f t="shared" si="1"/>
        <v>15.127964800000003</v>
      </c>
    </row>
    <row r="85" spans="1:4" x14ac:dyDescent="0.25">
      <c r="A85" s="26" t="s">
        <v>23</v>
      </c>
      <c r="B85" s="28" t="s">
        <v>55</v>
      </c>
      <c r="C85" s="24">
        <v>0.02</v>
      </c>
      <c r="D85" s="22">
        <f t="shared" si="1"/>
        <v>42.38</v>
      </c>
    </row>
    <row r="86" spans="1:4" x14ac:dyDescent="0.25">
      <c r="A86" s="219" t="s">
        <v>1</v>
      </c>
      <c r="B86" s="219"/>
      <c r="C86" s="23">
        <f>SUM(C80:C85)</f>
        <v>7.1075200000000005E-2</v>
      </c>
      <c r="D86" s="22">
        <f>SUM(D80:D85)</f>
        <v>150.60834880000002</v>
      </c>
    </row>
    <row r="89" spans="1:4" x14ac:dyDescent="0.25">
      <c r="A89" s="229" t="s">
        <v>56</v>
      </c>
      <c r="B89" s="229"/>
      <c r="C89" s="229"/>
      <c r="D89" s="229"/>
    </row>
    <row r="92" spans="1:4" x14ac:dyDescent="0.25">
      <c r="A92" s="228" t="s">
        <v>57</v>
      </c>
      <c r="B92" s="228"/>
      <c r="C92" s="228"/>
      <c r="D92" s="228"/>
    </row>
    <row r="93" spans="1:4" ht="16.5" thickBot="1" x14ac:dyDescent="0.3">
      <c r="A93" s="2"/>
    </row>
    <row r="94" spans="1:4" ht="16.5" thickBot="1" x14ac:dyDescent="0.3">
      <c r="A94" s="66" t="s">
        <v>58</v>
      </c>
      <c r="B94" s="66" t="s">
        <v>59</v>
      </c>
      <c r="C94" s="65" t="s">
        <v>35</v>
      </c>
      <c r="D94" s="66" t="s">
        <v>13</v>
      </c>
    </row>
    <row r="95" spans="1:4" x14ac:dyDescent="0.25">
      <c r="A95" s="26" t="s">
        <v>14</v>
      </c>
      <c r="B95" s="27" t="s">
        <v>2</v>
      </c>
      <c r="C95" s="32">
        <f>D95/$D$25</f>
        <v>0.14407285533532591</v>
      </c>
      <c r="D95" s="22">
        <f>'Custo de Substitução nas Ferias'!N13</f>
        <v>305.29038045555558</v>
      </c>
    </row>
    <row r="96" spans="1:4" x14ac:dyDescent="0.25">
      <c r="A96" s="26" t="s">
        <v>16</v>
      </c>
      <c r="B96" s="27" t="s">
        <v>59</v>
      </c>
      <c r="C96" s="32">
        <f>'Media de custo com mão de obra'!T8</f>
        <v>6.0999999999999995E-3</v>
      </c>
      <c r="D96" s="22">
        <f>C96*$D$25</f>
        <v>12.925899999999999</v>
      </c>
    </row>
    <row r="97" spans="1:4" x14ac:dyDescent="0.25">
      <c r="A97" s="26" t="s">
        <v>18</v>
      </c>
      <c r="B97" s="27" t="s">
        <v>60</v>
      </c>
      <c r="C97" s="32">
        <f>'Media de custo com mão de obra'!T9</f>
        <v>2.5000000000000001E-4</v>
      </c>
      <c r="D97" s="22">
        <f t="shared" ref="D97:D100" si="2">C97*$D$25</f>
        <v>0.52975000000000005</v>
      </c>
    </row>
    <row r="98" spans="1:4" x14ac:dyDescent="0.25">
      <c r="A98" s="26" t="s">
        <v>20</v>
      </c>
      <c r="B98" s="27" t="s">
        <v>61</v>
      </c>
      <c r="C98" s="32">
        <f>'Media de custo com mão de obra'!T10</f>
        <v>2.0499999999999997E-3</v>
      </c>
      <c r="D98" s="22">
        <f t="shared" si="2"/>
        <v>4.3439499999999995</v>
      </c>
    </row>
    <row r="99" spans="1:4" x14ac:dyDescent="0.25">
      <c r="A99" s="26" t="s">
        <v>21</v>
      </c>
      <c r="B99" s="27" t="s">
        <v>62</v>
      </c>
      <c r="C99" s="32">
        <f>'Media de custo com mão de obra'!T11</f>
        <v>5.9999999999999995E-4</v>
      </c>
      <c r="D99" s="22">
        <f t="shared" si="2"/>
        <v>1.2713999999999999</v>
      </c>
    </row>
    <row r="100" spans="1:4" x14ac:dyDescent="0.25">
      <c r="A100" s="26" t="s">
        <v>23</v>
      </c>
      <c r="B100" s="27" t="s">
        <v>25</v>
      </c>
      <c r="C100" s="32">
        <f>'Media de custo com mão de obra'!T12</f>
        <v>0</v>
      </c>
      <c r="D100" s="22">
        <f t="shared" si="2"/>
        <v>0</v>
      </c>
    </row>
    <row r="101" spans="1:4" x14ac:dyDescent="0.25">
      <c r="A101" s="219" t="s">
        <v>42</v>
      </c>
      <c r="B101" s="219"/>
      <c r="C101" s="33"/>
      <c r="D101" s="29">
        <f>SUM(D95:E100)</f>
        <v>324.3613804555556</v>
      </c>
    </row>
    <row r="104" spans="1:4" x14ac:dyDescent="0.25">
      <c r="A104" s="228" t="s">
        <v>63</v>
      </c>
      <c r="B104" s="228"/>
      <c r="C104" s="228"/>
      <c r="D104" s="228"/>
    </row>
    <row r="105" spans="1:4" x14ac:dyDescent="0.25">
      <c r="A105" s="2"/>
    </row>
    <row r="106" spans="1:4" x14ac:dyDescent="0.25">
      <c r="A106" s="66" t="s">
        <v>64</v>
      </c>
      <c r="B106" s="66" t="s">
        <v>65</v>
      </c>
      <c r="C106" s="18"/>
      <c r="D106" s="66" t="s">
        <v>13</v>
      </c>
    </row>
    <row r="107" spans="1:4" x14ac:dyDescent="0.25">
      <c r="A107" s="26" t="s">
        <v>14</v>
      </c>
      <c r="B107" s="27" t="s">
        <v>82</v>
      </c>
      <c r="C107" s="18"/>
      <c r="D107" s="22">
        <v>0</v>
      </c>
    </row>
    <row r="108" spans="1:4" x14ac:dyDescent="0.25">
      <c r="A108" s="219" t="s">
        <v>1</v>
      </c>
      <c r="B108" s="219"/>
      <c r="C108" s="18"/>
      <c r="D108" s="22">
        <f>D107</f>
        <v>0</v>
      </c>
    </row>
    <row r="111" spans="1:4" x14ac:dyDescent="0.25">
      <c r="A111" s="228" t="s">
        <v>66</v>
      </c>
      <c r="B111" s="228"/>
      <c r="C111" s="228"/>
      <c r="D111" s="228"/>
    </row>
    <row r="112" spans="1:4" x14ac:dyDescent="0.25">
      <c r="A112" s="2"/>
    </row>
    <row r="113" spans="1:4" x14ac:dyDescent="0.25">
      <c r="A113" s="66">
        <v>4</v>
      </c>
      <c r="B113" s="66" t="s">
        <v>67</v>
      </c>
      <c r="C113" s="18"/>
      <c r="D113" s="66" t="s">
        <v>13</v>
      </c>
    </row>
    <row r="114" spans="1:4" x14ac:dyDescent="0.25">
      <c r="A114" s="26" t="s">
        <v>58</v>
      </c>
      <c r="B114" s="27" t="s">
        <v>59</v>
      </c>
      <c r="C114" s="18"/>
      <c r="D114" s="22">
        <f>D101</f>
        <v>324.3613804555556</v>
      </c>
    </row>
    <row r="115" spans="1:4" x14ac:dyDescent="0.25">
      <c r="A115" s="26" t="s">
        <v>64</v>
      </c>
      <c r="B115" s="27" t="s">
        <v>65</v>
      </c>
      <c r="C115" s="18"/>
      <c r="D115" s="22">
        <f>D108</f>
        <v>0</v>
      </c>
    </row>
    <row r="116" spans="1:4" x14ac:dyDescent="0.25">
      <c r="A116" s="219" t="s">
        <v>1</v>
      </c>
      <c r="B116" s="219"/>
      <c r="C116" s="18"/>
      <c r="D116" s="22">
        <f>SUM(D114:D115)</f>
        <v>324.3613804555556</v>
      </c>
    </row>
    <row r="119" spans="1:4" x14ac:dyDescent="0.25">
      <c r="A119" s="229" t="s">
        <v>68</v>
      </c>
      <c r="B119" s="229"/>
      <c r="C119" s="229"/>
      <c r="D119" s="229"/>
    </row>
    <row r="121" spans="1:4" x14ac:dyDescent="0.25">
      <c r="A121" s="66">
        <v>5</v>
      </c>
      <c r="B121" s="30" t="s">
        <v>6</v>
      </c>
      <c r="C121" s="18"/>
      <c r="D121" s="66" t="s">
        <v>13</v>
      </c>
    </row>
    <row r="122" spans="1:4" x14ac:dyDescent="0.25">
      <c r="A122" s="26" t="s">
        <v>14</v>
      </c>
      <c r="B122" s="27" t="s">
        <v>69</v>
      </c>
      <c r="C122" s="18"/>
      <c r="D122" s="120">
        <f>Uniformes!P45</f>
        <v>24.530216666666664</v>
      </c>
    </row>
    <row r="123" spans="1:4" x14ac:dyDescent="0.25">
      <c r="A123" s="26" t="s">
        <v>16</v>
      </c>
      <c r="B123" s="27" t="s">
        <v>70</v>
      </c>
      <c r="C123" s="18"/>
      <c r="D123" s="22">
        <v>0</v>
      </c>
    </row>
    <row r="124" spans="1:4" x14ac:dyDescent="0.25">
      <c r="A124" s="26" t="s">
        <v>18</v>
      </c>
      <c r="B124" s="27" t="s">
        <v>89</v>
      </c>
      <c r="C124" s="18"/>
      <c r="D124" s="48"/>
    </row>
    <row r="125" spans="1:4" ht="31.5" x14ac:dyDescent="0.25">
      <c r="A125" s="26" t="s">
        <v>20</v>
      </c>
      <c r="B125" s="27" t="s">
        <v>339</v>
      </c>
      <c r="C125" s="18"/>
      <c r="D125" s="22">
        <f>155/10</f>
        <v>15.5</v>
      </c>
    </row>
    <row r="126" spans="1:4" x14ac:dyDescent="0.25">
      <c r="A126" s="219" t="s">
        <v>42</v>
      </c>
      <c r="B126" s="219"/>
      <c r="C126" s="18"/>
      <c r="D126" s="120">
        <f>SUM(D122:E125)</f>
        <v>40.030216666666661</v>
      </c>
    </row>
    <row r="129" spans="1:4" x14ac:dyDescent="0.25">
      <c r="A129" s="229" t="s">
        <v>71</v>
      </c>
      <c r="B129" s="229"/>
      <c r="C129" s="229"/>
      <c r="D129" s="229"/>
    </row>
    <row r="130" spans="1:4" ht="16.5" thickBot="1" x14ac:dyDescent="0.3"/>
    <row r="131" spans="1:4" ht="16.5" thickBot="1" x14ac:dyDescent="0.3">
      <c r="A131" s="3">
        <v>6</v>
      </c>
      <c r="B131" s="7" t="s">
        <v>7</v>
      </c>
      <c r="C131" s="65" t="s">
        <v>35</v>
      </c>
      <c r="D131" s="65" t="s">
        <v>13</v>
      </c>
    </row>
    <row r="132" spans="1:4" ht="16.5" thickBot="1" x14ac:dyDescent="0.3">
      <c r="A132" s="4" t="s">
        <v>14</v>
      </c>
      <c r="B132" s="5" t="s">
        <v>8</v>
      </c>
      <c r="C132" s="14">
        <f>'Media de custo com mão de obra'!T14</f>
        <v>1.66E-2</v>
      </c>
      <c r="D132" s="11">
        <f>(D25+D74+D86+D116+D126)*C132</f>
        <v>76.480614702308884</v>
      </c>
    </row>
    <row r="133" spans="1:4" ht="16.5" thickBot="1" x14ac:dyDescent="0.3">
      <c r="A133" s="4" t="s">
        <v>16</v>
      </c>
      <c r="B133" s="5" t="s">
        <v>10</v>
      </c>
      <c r="C133" s="14">
        <f>'Media de custo com mão de obra'!T15</f>
        <v>2.4500000000000001E-2</v>
      </c>
      <c r="D133" s="11">
        <f>(D25+D74+D86+D116+D126+D132)*C133</f>
        <v>114.75179073530103</v>
      </c>
    </row>
    <row r="134" spans="1:4" ht="16.5" thickBot="1" x14ac:dyDescent="0.3">
      <c r="A134" s="4" t="s">
        <v>18</v>
      </c>
      <c r="B134" s="5" t="s">
        <v>9</v>
      </c>
      <c r="C134" s="14">
        <f>SUM(C135,C137)</f>
        <v>0.14250000000000002</v>
      </c>
      <c r="D134" s="11">
        <f>((D25+D74+D86+D116+D126+D132+D133)/(1-(C134)))*C134</f>
        <v>797.41809337466623</v>
      </c>
    </row>
    <row r="135" spans="1:4" ht="16.5" thickBot="1" x14ac:dyDescent="0.3">
      <c r="A135" s="4"/>
      <c r="B135" s="5" t="s">
        <v>90</v>
      </c>
      <c r="C135" s="14">
        <f>1.65%+7.6%</f>
        <v>9.2499999999999999E-2</v>
      </c>
      <c r="D135" s="11">
        <f>((D25+D74+D86+D116+D126+D132+D133)/(1-(C134)))*C135</f>
        <v>517.6222711379412</v>
      </c>
    </row>
    <row r="136" spans="1:4" ht="16.5" thickBot="1" x14ac:dyDescent="0.3">
      <c r="A136" s="4"/>
      <c r="B136" s="5" t="s">
        <v>72</v>
      </c>
      <c r="C136" s="14">
        <v>0</v>
      </c>
      <c r="D136" s="11"/>
    </row>
    <row r="137" spans="1:4" ht="16.5" thickBot="1" x14ac:dyDescent="0.3">
      <c r="A137" s="4"/>
      <c r="B137" s="5" t="s">
        <v>73</v>
      </c>
      <c r="C137" s="14">
        <v>0.05</v>
      </c>
      <c r="D137" s="11">
        <f>((D25+D74+D86+D116+D126+D132+D133)/(1-(C134)))*C137</f>
        <v>279.79582223672497</v>
      </c>
    </row>
    <row r="138" spans="1:4" ht="16.5" thickBot="1" x14ac:dyDescent="0.3">
      <c r="A138" s="220" t="s">
        <v>42</v>
      </c>
      <c r="B138" s="221"/>
      <c r="C138" s="14">
        <f>SUM(C132:C134)</f>
        <v>0.18360000000000001</v>
      </c>
      <c r="D138" s="11">
        <f>SUM(D132:D134)</f>
        <v>988.65049881227617</v>
      </c>
    </row>
    <row r="141" spans="1:4" x14ac:dyDescent="0.25">
      <c r="A141" s="229" t="s">
        <v>74</v>
      </c>
      <c r="B141" s="229"/>
      <c r="C141" s="229"/>
      <c r="D141" s="229"/>
    </row>
    <row r="142" spans="1:4" ht="16.5" thickBot="1" x14ac:dyDescent="0.3"/>
    <row r="143" spans="1:4" ht="16.5" thickBot="1" x14ac:dyDescent="0.3">
      <c r="A143" s="3"/>
      <c r="B143" s="65" t="s">
        <v>75</v>
      </c>
      <c r="C143" s="65"/>
      <c r="D143" s="65" t="s">
        <v>13</v>
      </c>
    </row>
    <row r="144" spans="1:4" ht="16.5" thickBot="1" x14ac:dyDescent="0.3">
      <c r="A144" s="9" t="s">
        <v>14</v>
      </c>
      <c r="B144" s="5" t="s">
        <v>11</v>
      </c>
      <c r="C144" s="14"/>
      <c r="D144" s="12">
        <f>D25</f>
        <v>2119</v>
      </c>
    </row>
    <row r="145" spans="1:4" ht="16.5" thickBot="1" x14ac:dyDescent="0.3">
      <c r="A145" s="9" t="s">
        <v>16</v>
      </c>
      <c r="B145" s="5" t="s">
        <v>26</v>
      </c>
      <c r="C145" s="14"/>
      <c r="D145" s="12">
        <f>D74</f>
        <v>1973.2659999999998</v>
      </c>
    </row>
    <row r="146" spans="1:4" ht="16.5" thickBot="1" x14ac:dyDescent="0.3">
      <c r="A146" s="9" t="s">
        <v>18</v>
      </c>
      <c r="B146" s="5" t="s">
        <v>48</v>
      </c>
      <c r="C146" s="14"/>
      <c r="D146" s="12">
        <f>D86</f>
        <v>150.60834880000002</v>
      </c>
    </row>
    <row r="147" spans="1:4" ht="16.5" thickBot="1" x14ac:dyDescent="0.3">
      <c r="A147" s="9" t="s">
        <v>20</v>
      </c>
      <c r="B147" s="5" t="s">
        <v>56</v>
      </c>
      <c r="C147" s="14"/>
      <c r="D147" s="12">
        <f>D116</f>
        <v>324.3613804555556</v>
      </c>
    </row>
    <row r="148" spans="1:4" ht="16.5" thickBot="1" x14ac:dyDescent="0.3">
      <c r="A148" s="9" t="s">
        <v>21</v>
      </c>
      <c r="B148" s="5" t="s">
        <v>68</v>
      </c>
      <c r="C148" s="14"/>
      <c r="D148" s="183">
        <f>D126</f>
        <v>40.030216666666661</v>
      </c>
    </row>
    <row r="149" spans="1:4" ht="16.5" thickBot="1" x14ac:dyDescent="0.3">
      <c r="A149" s="220" t="s">
        <v>76</v>
      </c>
      <c r="B149" s="221"/>
      <c r="C149" s="14"/>
      <c r="D149" s="12">
        <f>SUM(D144:D148)</f>
        <v>4607.2659459222223</v>
      </c>
    </row>
    <row r="150" spans="1:4" ht="16.5" thickBot="1" x14ac:dyDescent="0.3">
      <c r="A150" s="9" t="s">
        <v>23</v>
      </c>
      <c r="B150" s="5" t="s">
        <v>77</v>
      </c>
      <c r="C150" s="14"/>
      <c r="D150" s="12">
        <f>D138</f>
        <v>988.65049881227617</v>
      </c>
    </row>
    <row r="151" spans="1:4" ht="16.5" thickBot="1" x14ac:dyDescent="0.3">
      <c r="A151" s="220" t="s">
        <v>78</v>
      </c>
      <c r="B151" s="221"/>
      <c r="D151" s="12">
        <f>SUM(D149:D150)</f>
        <v>5595.9164447344983</v>
      </c>
    </row>
  </sheetData>
  <mergeCells count="43">
    <mergeCell ref="A25:B25"/>
    <mergeCell ref="A1:D1"/>
    <mergeCell ref="A2:D2"/>
    <mergeCell ref="A3:D3"/>
    <mergeCell ref="A5:D5"/>
    <mergeCell ref="C6:D6"/>
    <mergeCell ref="C7:D7"/>
    <mergeCell ref="C8:D8"/>
    <mergeCell ref="C9:D9"/>
    <mergeCell ref="C10:D10"/>
    <mergeCell ref="C11:D11"/>
    <mergeCell ref="A15:D15"/>
    <mergeCell ref="A58:D58"/>
    <mergeCell ref="A28:D28"/>
    <mergeCell ref="A30:D30"/>
    <mergeCell ref="A35:B35"/>
    <mergeCell ref="A37:D37"/>
    <mergeCell ref="A38:D38"/>
    <mergeCell ref="A39:D39"/>
    <mergeCell ref="A41:D41"/>
    <mergeCell ref="A52:B52"/>
    <mergeCell ref="A54:D54"/>
    <mergeCell ref="A55:D55"/>
    <mergeCell ref="A56:D56"/>
    <mergeCell ref="A116:B116"/>
    <mergeCell ref="A65:B65"/>
    <mergeCell ref="A68:D68"/>
    <mergeCell ref="A74:B74"/>
    <mergeCell ref="A77:D77"/>
    <mergeCell ref="A86:B86"/>
    <mergeCell ref="A89:D89"/>
    <mergeCell ref="A92:D92"/>
    <mergeCell ref="A101:B101"/>
    <mergeCell ref="A104:D104"/>
    <mergeCell ref="A108:B108"/>
    <mergeCell ref="A111:D111"/>
    <mergeCell ref="A151:B151"/>
    <mergeCell ref="A119:D119"/>
    <mergeCell ref="A126:B126"/>
    <mergeCell ref="A129:D129"/>
    <mergeCell ref="A138:B138"/>
    <mergeCell ref="A141:D141"/>
    <mergeCell ref="A149:B149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  <rowBreaks count="3" manualBreakCount="3">
    <brk id="57" max="3" man="1"/>
    <brk id="75" max="16383" man="1"/>
    <brk id="13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3F8878-BD45-4F86-97AF-138FB6B39C8D}">
  <sheetPr>
    <pageSetUpPr fitToPage="1"/>
  </sheetPr>
  <dimension ref="A1:G152"/>
  <sheetViews>
    <sheetView showGridLines="0" view="pageBreakPreview" topLeftCell="A115" zoomScaleNormal="115" zoomScaleSheetLayoutView="100" workbookViewId="0">
      <selection activeCell="G153" sqref="G153"/>
    </sheetView>
  </sheetViews>
  <sheetFormatPr defaultColWidth="9.140625" defaultRowHeight="15.75" x14ac:dyDescent="0.25"/>
  <cols>
    <col min="1" max="1" width="9.140625" style="8"/>
    <col min="2" max="2" width="72.140625" style="8" customWidth="1"/>
    <col min="3" max="3" width="20" style="8" customWidth="1"/>
    <col min="4" max="4" width="15.7109375" style="8" customWidth="1"/>
    <col min="5" max="5" width="12.7109375" style="8" hidden="1" customWidth="1"/>
    <col min="6" max="6" width="38.42578125" style="8" customWidth="1"/>
    <col min="7" max="7" width="15.140625" style="8" customWidth="1"/>
    <col min="8" max="16384" width="9.140625" style="8"/>
  </cols>
  <sheetData>
    <row r="1" spans="1:6" ht="23.25" x14ac:dyDescent="0.35">
      <c r="A1" s="232" t="s">
        <v>79</v>
      </c>
      <c r="B1" s="232"/>
      <c r="C1" s="232"/>
      <c r="D1" s="232"/>
    </row>
    <row r="2" spans="1:6" ht="23.25" x14ac:dyDescent="0.35">
      <c r="A2" s="232" t="s">
        <v>80</v>
      </c>
      <c r="B2" s="232"/>
      <c r="C2" s="232"/>
      <c r="D2" s="232"/>
    </row>
    <row r="3" spans="1:6" x14ac:dyDescent="0.25">
      <c r="A3" s="233" t="s">
        <v>81</v>
      </c>
      <c r="B3" s="233"/>
      <c r="C3" s="233"/>
      <c r="D3" s="233"/>
    </row>
    <row r="4" spans="1:6" x14ac:dyDescent="0.25">
      <c r="A4" s="144"/>
      <c r="B4" s="144"/>
      <c r="C4" s="144"/>
      <c r="D4" s="144"/>
    </row>
    <row r="5" spans="1:6" x14ac:dyDescent="0.25">
      <c r="A5" s="235" t="s">
        <v>135</v>
      </c>
      <c r="B5" s="235"/>
      <c r="C5" s="235"/>
      <c r="D5" s="235"/>
    </row>
    <row r="6" spans="1:6" x14ac:dyDescent="0.25">
      <c r="A6" s="26" t="s">
        <v>14</v>
      </c>
      <c r="B6" s="62" t="s">
        <v>137</v>
      </c>
      <c r="C6" s="224" t="s">
        <v>295</v>
      </c>
      <c r="D6" s="225"/>
    </row>
    <row r="7" spans="1:6" ht="15.75" customHeight="1" x14ac:dyDescent="0.25">
      <c r="A7" s="26" t="s">
        <v>16</v>
      </c>
      <c r="B7" s="62" t="s">
        <v>141</v>
      </c>
      <c r="C7" s="224" t="s">
        <v>296</v>
      </c>
      <c r="D7" s="225"/>
    </row>
    <row r="8" spans="1:6" x14ac:dyDescent="0.25">
      <c r="A8" s="26" t="s">
        <v>18</v>
      </c>
      <c r="B8" s="62" t="s">
        <v>140</v>
      </c>
      <c r="C8" s="222">
        <v>1586.8679999999999</v>
      </c>
      <c r="D8" s="223"/>
      <c r="F8" s="8">
        <v>2117</v>
      </c>
    </row>
    <row r="9" spans="1:6" x14ac:dyDescent="0.25">
      <c r="A9" s="26" t="s">
        <v>20</v>
      </c>
      <c r="B9" s="62" t="s">
        <v>138</v>
      </c>
      <c r="C9" s="224" t="s">
        <v>340</v>
      </c>
      <c r="D9" s="225"/>
    </row>
    <row r="10" spans="1:6" x14ac:dyDescent="0.25">
      <c r="A10" s="26" t="s">
        <v>21</v>
      </c>
      <c r="B10" s="62" t="s">
        <v>139</v>
      </c>
      <c r="C10" s="230">
        <v>45658</v>
      </c>
      <c r="D10" s="225"/>
    </row>
    <row r="11" spans="1:6" x14ac:dyDescent="0.25">
      <c r="A11" s="26" t="s">
        <v>23</v>
      </c>
      <c r="B11" s="62" t="s">
        <v>136</v>
      </c>
      <c r="C11" s="224">
        <v>12</v>
      </c>
      <c r="D11" s="225"/>
    </row>
    <row r="12" spans="1:6" x14ac:dyDescent="0.25">
      <c r="A12" s="144"/>
      <c r="B12" s="144"/>
      <c r="C12" s="144"/>
      <c r="D12" s="144"/>
    </row>
    <row r="13" spans="1:6" x14ac:dyDescent="0.25">
      <c r="A13" s="144"/>
      <c r="B13" s="144"/>
      <c r="C13" s="144"/>
      <c r="D13" s="144"/>
    </row>
    <row r="14" spans="1:6" ht="6" customHeight="1" x14ac:dyDescent="0.25"/>
    <row r="15" spans="1:6" x14ac:dyDescent="0.25">
      <c r="A15" s="234" t="s">
        <v>11</v>
      </c>
      <c r="B15" s="234"/>
      <c r="C15" s="234"/>
      <c r="D15" s="234"/>
    </row>
    <row r="17" spans="1:6" x14ac:dyDescent="0.25">
      <c r="A17" s="141">
        <v>1</v>
      </c>
      <c r="B17" s="141" t="s">
        <v>12</v>
      </c>
      <c r="C17" s="18"/>
      <c r="D17" s="141" t="s">
        <v>13</v>
      </c>
    </row>
    <row r="18" spans="1:6" ht="16.5" thickBot="1" x14ac:dyDescent="0.3">
      <c r="A18" s="26" t="s">
        <v>14</v>
      </c>
      <c r="B18" s="27" t="s">
        <v>15</v>
      </c>
      <c r="C18" s="18"/>
      <c r="D18" s="11">
        <f>C8</f>
        <v>1586.8679999999999</v>
      </c>
    </row>
    <row r="19" spans="1:6" x14ac:dyDescent="0.25">
      <c r="A19" s="26" t="s">
        <v>16</v>
      </c>
      <c r="B19" s="27" t="s">
        <v>17</v>
      </c>
      <c r="C19" s="18"/>
      <c r="D19" s="22"/>
    </row>
    <row r="20" spans="1:6" x14ac:dyDescent="0.25">
      <c r="A20" s="26" t="s">
        <v>18</v>
      </c>
      <c r="B20" s="27" t="s">
        <v>19</v>
      </c>
      <c r="C20" s="18"/>
      <c r="D20" s="22"/>
    </row>
    <row r="21" spans="1:6" x14ac:dyDescent="0.25">
      <c r="A21" s="26" t="s">
        <v>20</v>
      </c>
      <c r="B21" s="27" t="s">
        <v>0</v>
      </c>
      <c r="C21" s="18"/>
      <c r="D21" s="22"/>
    </row>
    <row r="22" spans="1:6" x14ac:dyDescent="0.25">
      <c r="A22" s="26" t="s">
        <v>21</v>
      </c>
      <c r="B22" s="27" t="s">
        <v>22</v>
      </c>
      <c r="C22" s="18"/>
      <c r="D22" s="22"/>
    </row>
    <row r="23" spans="1:6" x14ac:dyDescent="0.25">
      <c r="A23" s="26"/>
      <c r="B23" s="27"/>
      <c r="C23" s="18"/>
      <c r="D23" s="22"/>
    </row>
    <row r="24" spans="1:6" x14ac:dyDescent="0.25">
      <c r="A24" s="26" t="s">
        <v>24</v>
      </c>
      <c r="B24" s="27" t="s">
        <v>25</v>
      </c>
      <c r="C24" s="18"/>
      <c r="D24" s="22"/>
    </row>
    <row r="25" spans="1:6" x14ac:dyDescent="0.25">
      <c r="A25" s="219" t="s">
        <v>1</v>
      </c>
      <c r="B25" s="219"/>
      <c r="C25" s="18"/>
      <c r="D25" s="120">
        <f>SUM(D18:D24)</f>
        <v>1586.8679999999999</v>
      </c>
      <c r="F25" s="146"/>
    </row>
    <row r="27" spans="1:6" ht="5.45" customHeight="1" x14ac:dyDescent="0.25"/>
    <row r="28" spans="1:6" x14ac:dyDescent="0.25">
      <c r="A28" s="229" t="s">
        <v>26</v>
      </c>
      <c r="B28" s="229"/>
      <c r="C28" s="229"/>
      <c r="D28" s="229"/>
    </row>
    <row r="29" spans="1:6" x14ac:dyDescent="0.25">
      <c r="A29" s="2"/>
    </row>
    <row r="30" spans="1:6" x14ac:dyDescent="0.25">
      <c r="A30" s="228" t="s">
        <v>27</v>
      </c>
      <c r="B30" s="228"/>
      <c r="C30" s="228"/>
      <c r="D30" s="228"/>
    </row>
    <row r="31" spans="1:6" ht="16.5" thickBot="1" x14ac:dyDescent="0.3"/>
    <row r="32" spans="1:6" ht="16.5" thickBot="1" x14ac:dyDescent="0.3">
      <c r="A32" s="3" t="s">
        <v>28</v>
      </c>
      <c r="B32" s="143" t="s">
        <v>29</v>
      </c>
      <c r="C32" s="20" t="s">
        <v>91</v>
      </c>
      <c r="D32" s="21" t="s">
        <v>13</v>
      </c>
    </row>
    <row r="33" spans="1:4" ht="16.5" thickBot="1" x14ac:dyDescent="0.3">
      <c r="A33" s="4" t="s">
        <v>14</v>
      </c>
      <c r="B33" s="19" t="s">
        <v>30</v>
      </c>
      <c r="C33" s="23">
        <f>1/12</f>
        <v>8.3333333333333329E-2</v>
      </c>
      <c r="D33" s="22">
        <f>C33*D25</f>
        <v>132.23899999999998</v>
      </c>
    </row>
    <row r="34" spans="1:4" ht="16.5" thickBot="1" x14ac:dyDescent="0.3">
      <c r="A34" s="4" t="s">
        <v>16</v>
      </c>
      <c r="B34" s="19" t="s">
        <v>31</v>
      </c>
      <c r="C34" s="24">
        <f>1/12+1/12*1/3</f>
        <v>0.1111111111111111</v>
      </c>
      <c r="D34" s="22">
        <f>D25*C34</f>
        <v>176.31866666666664</v>
      </c>
    </row>
    <row r="35" spans="1:4" ht="16.5" thickBot="1" x14ac:dyDescent="0.3">
      <c r="A35" s="220" t="s">
        <v>1</v>
      </c>
      <c r="B35" s="227"/>
      <c r="C35" s="23">
        <f>SUM(C33:C34)</f>
        <v>0.19444444444444442</v>
      </c>
      <c r="D35" s="22">
        <f>SUM(D33:D34)</f>
        <v>308.55766666666659</v>
      </c>
    </row>
    <row r="36" spans="1:4" ht="3" customHeight="1" x14ac:dyDescent="0.25"/>
    <row r="37" spans="1:4" ht="62.45" customHeight="1" x14ac:dyDescent="0.25">
      <c r="A37" s="226" t="s">
        <v>92</v>
      </c>
      <c r="B37" s="226"/>
      <c r="C37" s="226"/>
      <c r="D37" s="226"/>
    </row>
    <row r="38" spans="1:4" ht="56.45" customHeight="1" x14ac:dyDescent="0.25">
      <c r="A38" s="226" t="s">
        <v>93</v>
      </c>
      <c r="B38" s="226"/>
      <c r="C38" s="226"/>
      <c r="D38" s="226"/>
    </row>
    <row r="39" spans="1:4" ht="65.45" customHeight="1" x14ac:dyDescent="0.25">
      <c r="A39" s="226" t="s">
        <v>94</v>
      </c>
      <c r="B39" s="226"/>
      <c r="C39" s="226"/>
      <c r="D39" s="226"/>
    </row>
    <row r="40" spans="1:4" ht="3.6" customHeight="1" x14ac:dyDescent="0.25"/>
    <row r="41" spans="1:4" ht="32.25" customHeight="1" x14ac:dyDescent="0.25">
      <c r="A41" s="231" t="s">
        <v>32</v>
      </c>
      <c r="B41" s="231"/>
      <c r="C41" s="231"/>
      <c r="D41" s="231"/>
    </row>
    <row r="42" spans="1:4" ht="16.5" thickBot="1" x14ac:dyDescent="0.3"/>
    <row r="43" spans="1:4" ht="16.5" thickBot="1" x14ac:dyDescent="0.3">
      <c r="A43" s="3" t="s">
        <v>33</v>
      </c>
      <c r="B43" s="142" t="s">
        <v>34</v>
      </c>
      <c r="C43" s="142" t="s">
        <v>35</v>
      </c>
      <c r="D43" s="142" t="s">
        <v>13</v>
      </c>
    </row>
    <row r="44" spans="1:4" ht="16.5" thickBot="1" x14ac:dyDescent="0.3">
      <c r="A44" s="4" t="s">
        <v>14</v>
      </c>
      <c r="B44" s="5" t="s">
        <v>36</v>
      </c>
      <c r="C44" s="6">
        <v>0.2</v>
      </c>
      <c r="D44" s="11">
        <f t="shared" ref="D44:D51" si="0">($D$25+$D$35)*C44</f>
        <v>379.08513333333332</v>
      </c>
    </row>
    <row r="45" spans="1:4" ht="16.5" thickBot="1" x14ac:dyDescent="0.3">
      <c r="A45" s="4" t="s">
        <v>16</v>
      </c>
      <c r="B45" s="5" t="s">
        <v>37</v>
      </c>
      <c r="C45" s="6">
        <v>2.5000000000000001E-2</v>
      </c>
      <c r="D45" s="11">
        <f t="shared" si="0"/>
        <v>47.385641666666665</v>
      </c>
    </row>
    <row r="46" spans="1:4" ht="16.5" thickBot="1" x14ac:dyDescent="0.3">
      <c r="A46" s="4" t="s">
        <v>18</v>
      </c>
      <c r="B46" s="5" t="s">
        <v>38</v>
      </c>
      <c r="C46" s="13">
        <v>0.03</v>
      </c>
      <c r="D46" s="11">
        <f t="shared" si="0"/>
        <v>56.86276999999999</v>
      </c>
    </row>
    <row r="47" spans="1:4" ht="16.5" thickBot="1" x14ac:dyDescent="0.3">
      <c r="A47" s="4" t="s">
        <v>20</v>
      </c>
      <c r="B47" s="5" t="s">
        <v>39</v>
      </c>
      <c r="C47" s="6">
        <v>1.4999999999999999E-2</v>
      </c>
      <c r="D47" s="11">
        <f t="shared" si="0"/>
        <v>28.431384999999995</v>
      </c>
    </row>
    <row r="48" spans="1:4" ht="16.5" thickBot="1" x14ac:dyDescent="0.3">
      <c r="A48" s="4" t="s">
        <v>21</v>
      </c>
      <c r="B48" s="5" t="s">
        <v>40</v>
      </c>
      <c r="C48" s="6">
        <v>0.01</v>
      </c>
      <c r="D48" s="11">
        <f t="shared" si="0"/>
        <v>18.954256666666666</v>
      </c>
    </row>
    <row r="49" spans="1:4" ht="16.5" thickBot="1" x14ac:dyDescent="0.3">
      <c r="A49" s="4" t="s">
        <v>23</v>
      </c>
      <c r="B49" s="5" t="s">
        <v>3</v>
      </c>
      <c r="C49" s="6">
        <v>6.0000000000000001E-3</v>
      </c>
      <c r="D49" s="11">
        <f t="shared" si="0"/>
        <v>11.372553999999999</v>
      </c>
    </row>
    <row r="50" spans="1:4" ht="16.5" thickBot="1" x14ac:dyDescent="0.3">
      <c r="A50" s="4" t="s">
        <v>24</v>
      </c>
      <c r="B50" s="5" t="s">
        <v>4</v>
      </c>
      <c r="C50" s="6">
        <v>2E-3</v>
      </c>
      <c r="D50" s="11">
        <f t="shared" si="0"/>
        <v>3.7908513333333334</v>
      </c>
    </row>
    <row r="51" spans="1:4" ht="16.5" thickBot="1" x14ac:dyDescent="0.3">
      <c r="A51" s="4" t="s">
        <v>41</v>
      </c>
      <c r="B51" s="5" t="s">
        <v>5</v>
      </c>
      <c r="C51" s="6">
        <v>0.08</v>
      </c>
      <c r="D51" s="11">
        <f t="shared" si="0"/>
        <v>151.63405333333333</v>
      </c>
    </row>
    <row r="52" spans="1:4" ht="16.5" thickBot="1" x14ac:dyDescent="0.3">
      <c r="A52" s="220" t="s">
        <v>42</v>
      </c>
      <c r="B52" s="221"/>
      <c r="C52" s="6">
        <f>SUM(C44:C51)</f>
        <v>0.36800000000000005</v>
      </c>
      <c r="D52" s="11">
        <f>SUM(D44:D51)</f>
        <v>697.51664533333337</v>
      </c>
    </row>
    <row r="53" spans="1:4" ht="7.9" customHeight="1" x14ac:dyDescent="0.25"/>
    <row r="54" spans="1:4" ht="30.6" customHeight="1" x14ac:dyDescent="0.25">
      <c r="A54" s="226" t="s">
        <v>95</v>
      </c>
      <c r="B54" s="226"/>
      <c r="C54" s="226"/>
      <c r="D54" s="226"/>
    </row>
    <row r="55" spans="1:4" ht="37.15" customHeight="1" x14ac:dyDescent="0.25">
      <c r="A55" s="226" t="s">
        <v>96</v>
      </c>
      <c r="B55" s="226"/>
      <c r="C55" s="226"/>
      <c r="D55" s="226"/>
    </row>
    <row r="56" spans="1:4" ht="37.15" customHeight="1" x14ac:dyDescent="0.25">
      <c r="A56" s="226" t="s">
        <v>97</v>
      </c>
      <c r="B56" s="226"/>
      <c r="C56" s="226"/>
      <c r="D56" s="226"/>
    </row>
    <row r="57" spans="1:4" ht="6" customHeight="1" x14ac:dyDescent="0.25"/>
    <row r="58" spans="1:4" x14ac:dyDescent="0.25">
      <c r="A58" s="228" t="s">
        <v>43</v>
      </c>
      <c r="B58" s="228"/>
      <c r="C58" s="228"/>
      <c r="D58" s="228"/>
    </row>
    <row r="59" spans="1:4" ht="16.5" thickBot="1" x14ac:dyDescent="0.3"/>
    <row r="60" spans="1:4" ht="16.5" thickBot="1" x14ac:dyDescent="0.3">
      <c r="A60" s="141" t="s">
        <v>44</v>
      </c>
      <c r="B60" s="141" t="s">
        <v>45</v>
      </c>
      <c r="C60" s="142"/>
      <c r="D60" s="141" t="s">
        <v>13</v>
      </c>
    </row>
    <row r="61" spans="1:4" x14ac:dyDescent="0.25">
      <c r="A61" s="26" t="s">
        <v>14</v>
      </c>
      <c r="B61" s="27" t="s">
        <v>293</v>
      </c>
      <c r="C61" s="18"/>
      <c r="D61" s="22">
        <f>(4.6*22*2)-(D18*6%)</f>
        <v>107.18791999999999</v>
      </c>
    </row>
    <row r="62" spans="1:4" x14ac:dyDescent="0.25">
      <c r="A62" s="26" t="s">
        <v>16</v>
      </c>
      <c r="B62" s="27" t="s">
        <v>288</v>
      </c>
      <c r="C62" s="18"/>
      <c r="D62" s="22">
        <f>26.7*22-(0.1*26.7*22)</f>
        <v>528.66</v>
      </c>
    </row>
    <row r="63" spans="1:4" x14ac:dyDescent="0.25">
      <c r="A63" s="26" t="s">
        <v>18</v>
      </c>
      <c r="B63" s="27" t="s">
        <v>88</v>
      </c>
      <c r="C63" s="18"/>
      <c r="D63" s="22">
        <v>6</v>
      </c>
    </row>
    <row r="64" spans="1:4" x14ac:dyDescent="0.25">
      <c r="A64" s="26" t="s">
        <v>20</v>
      </c>
      <c r="B64" s="27" t="s">
        <v>158</v>
      </c>
      <c r="C64" s="18"/>
      <c r="D64" s="22">
        <v>19.899999999999999</v>
      </c>
    </row>
    <row r="65" spans="1:4" x14ac:dyDescent="0.25">
      <c r="A65" s="219" t="s">
        <v>1</v>
      </c>
      <c r="B65" s="219"/>
      <c r="C65" s="18"/>
      <c r="D65" s="22">
        <f>SUM(D61:D64)</f>
        <v>661.74791999999991</v>
      </c>
    </row>
    <row r="68" spans="1:4" x14ac:dyDescent="0.25">
      <c r="A68" s="228" t="s">
        <v>46</v>
      </c>
      <c r="B68" s="228"/>
      <c r="C68" s="228"/>
      <c r="D68" s="228"/>
    </row>
    <row r="69" spans="1:4" ht="16.5" thickBot="1" x14ac:dyDescent="0.3"/>
    <row r="70" spans="1:4" ht="16.5" thickBot="1" x14ac:dyDescent="0.3">
      <c r="A70" s="141">
        <v>2</v>
      </c>
      <c r="B70" s="141" t="s">
        <v>47</v>
      </c>
      <c r="C70" s="142" t="s">
        <v>35</v>
      </c>
      <c r="D70" s="141" t="s">
        <v>13</v>
      </c>
    </row>
    <row r="71" spans="1:4" x14ac:dyDescent="0.25">
      <c r="A71" s="26" t="s">
        <v>28</v>
      </c>
      <c r="B71" s="27" t="s">
        <v>29</v>
      </c>
      <c r="C71" s="18"/>
      <c r="D71" s="22">
        <f>D35</f>
        <v>308.55766666666659</v>
      </c>
    </row>
    <row r="72" spans="1:4" x14ac:dyDescent="0.25">
      <c r="A72" s="26" t="s">
        <v>33</v>
      </c>
      <c r="B72" s="27" t="s">
        <v>34</v>
      </c>
      <c r="C72" s="18"/>
      <c r="D72" s="22">
        <f>D52</f>
        <v>697.51664533333337</v>
      </c>
    </row>
    <row r="73" spans="1:4" x14ac:dyDescent="0.25">
      <c r="A73" s="26" t="s">
        <v>44</v>
      </c>
      <c r="B73" s="27" t="s">
        <v>45</v>
      </c>
      <c r="C73" s="18"/>
      <c r="D73" s="22">
        <f>D65</f>
        <v>661.74791999999991</v>
      </c>
    </row>
    <row r="74" spans="1:4" x14ac:dyDescent="0.25">
      <c r="A74" s="219" t="s">
        <v>1</v>
      </c>
      <c r="B74" s="219"/>
      <c r="C74" s="18"/>
      <c r="D74" s="29">
        <f>SUM(D71:D73)</f>
        <v>1667.822232</v>
      </c>
    </row>
    <row r="75" spans="1:4" x14ac:dyDescent="0.25">
      <c r="A75" s="1"/>
    </row>
    <row r="77" spans="1:4" x14ac:dyDescent="0.25">
      <c r="A77" s="229" t="s">
        <v>48</v>
      </c>
      <c r="B77" s="229"/>
      <c r="C77" s="229"/>
      <c r="D77" s="229"/>
    </row>
    <row r="78" spans="1:4" ht="16.5" thickBot="1" x14ac:dyDescent="0.3"/>
    <row r="79" spans="1:4" ht="16.5" thickBot="1" x14ac:dyDescent="0.3">
      <c r="A79" s="141">
        <v>3</v>
      </c>
      <c r="B79" s="141" t="s">
        <v>49</v>
      </c>
      <c r="C79" s="142" t="s">
        <v>35</v>
      </c>
      <c r="D79" s="141" t="s">
        <v>13</v>
      </c>
    </row>
    <row r="80" spans="1:4" x14ac:dyDescent="0.25">
      <c r="A80" s="26" t="s">
        <v>14</v>
      </c>
      <c r="B80" s="28" t="s">
        <v>50</v>
      </c>
      <c r="C80" s="24">
        <f>'Media de custo com mão de obra'!T5</f>
        <v>4.1999999999999997E-3</v>
      </c>
      <c r="D80" s="22">
        <f>C80*$D$25</f>
        <v>6.6648455999999996</v>
      </c>
    </row>
    <row r="81" spans="1:4" x14ac:dyDescent="0.25">
      <c r="A81" s="26" t="s">
        <v>16</v>
      </c>
      <c r="B81" s="28" t="s">
        <v>51</v>
      </c>
      <c r="C81" s="24">
        <f>C80*C51</f>
        <v>3.3599999999999998E-4</v>
      </c>
      <c r="D81" s="22">
        <f t="shared" ref="D81:D85" si="1">C81*$D$25</f>
        <v>0.53318764799999996</v>
      </c>
    </row>
    <row r="82" spans="1:4" x14ac:dyDescent="0.25">
      <c r="A82" s="26" t="s">
        <v>18</v>
      </c>
      <c r="B82" s="28" t="s">
        <v>52</v>
      </c>
      <c r="C82" s="24">
        <v>0.02</v>
      </c>
      <c r="D82" s="22">
        <f t="shared" si="1"/>
        <v>31.737359999999999</v>
      </c>
    </row>
    <row r="83" spans="1:4" x14ac:dyDescent="0.25">
      <c r="A83" s="26" t="s">
        <v>20</v>
      </c>
      <c r="B83" s="28" t="s">
        <v>53</v>
      </c>
      <c r="C83" s="24">
        <f>'Media de custo com mão de obra'!T6</f>
        <v>1.9400000000000001E-2</v>
      </c>
      <c r="D83" s="22">
        <f t="shared" si="1"/>
        <v>30.785239199999999</v>
      </c>
    </row>
    <row r="84" spans="1:4" x14ac:dyDescent="0.25">
      <c r="A84" s="26" t="s">
        <v>21</v>
      </c>
      <c r="B84" s="28" t="s">
        <v>54</v>
      </c>
      <c r="C84" s="24">
        <f>C83*C52</f>
        <v>7.1392000000000009E-3</v>
      </c>
      <c r="D84" s="22">
        <f t="shared" si="1"/>
        <v>11.328968025600002</v>
      </c>
    </row>
    <row r="85" spans="1:4" x14ac:dyDescent="0.25">
      <c r="A85" s="26" t="s">
        <v>23</v>
      </c>
      <c r="B85" s="28" t="s">
        <v>55</v>
      </c>
      <c r="C85" s="24">
        <v>0.02</v>
      </c>
      <c r="D85" s="22">
        <f t="shared" si="1"/>
        <v>31.737359999999999</v>
      </c>
    </row>
    <row r="86" spans="1:4" x14ac:dyDescent="0.25">
      <c r="A86" s="219" t="s">
        <v>1</v>
      </c>
      <c r="B86" s="219"/>
      <c r="C86" s="23">
        <f>SUM(C80:C85)</f>
        <v>7.1075200000000005E-2</v>
      </c>
      <c r="D86" s="22">
        <f>SUM(D80:D85)</f>
        <v>112.7869604736</v>
      </c>
    </row>
    <row r="89" spans="1:4" x14ac:dyDescent="0.25">
      <c r="A89" s="229" t="s">
        <v>56</v>
      </c>
      <c r="B89" s="229"/>
      <c r="C89" s="229"/>
      <c r="D89" s="229"/>
    </row>
    <row r="92" spans="1:4" x14ac:dyDescent="0.25">
      <c r="A92" s="228" t="s">
        <v>57</v>
      </c>
      <c r="B92" s="228"/>
      <c r="C92" s="228"/>
      <c r="D92" s="228"/>
    </row>
    <row r="93" spans="1:4" ht="16.5" thickBot="1" x14ac:dyDescent="0.3">
      <c r="A93" s="2"/>
    </row>
    <row r="94" spans="1:4" ht="16.5" thickBot="1" x14ac:dyDescent="0.3">
      <c r="A94" s="141" t="s">
        <v>58</v>
      </c>
      <c r="B94" s="141" t="s">
        <v>59</v>
      </c>
      <c r="C94" s="142" t="s">
        <v>35</v>
      </c>
      <c r="D94" s="141" t="s">
        <v>13</v>
      </c>
    </row>
    <row r="95" spans="1:4" x14ac:dyDescent="0.25">
      <c r="A95" s="26" t="s">
        <v>14</v>
      </c>
      <c r="B95" s="27" t="s">
        <v>2</v>
      </c>
      <c r="C95" s="32">
        <f>D95/$D$25</f>
        <v>0.14628558367490066</v>
      </c>
      <c r="D95" s="22">
        <f>'Custo de Substitução nas Ferias'!O13</f>
        <v>232.13591159502224</v>
      </c>
    </row>
    <row r="96" spans="1:4" x14ac:dyDescent="0.25">
      <c r="A96" s="26" t="s">
        <v>16</v>
      </c>
      <c r="B96" s="27" t="s">
        <v>59</v>
      </c>
      <c r="C96" s="32">
        <f>'Media de custo com mão de obra'!T8</f>
        <v>6.0999999999999995E-3</v>
      </c>
      <c r="D96" s="22">
        <f>C96*$D$25</f>
        <v>9.6798947999999996</v>
      </c>
    </row>
    <row r="97" spans="1:4" x14ac:dyDescent="0.25">
      <c r="A97" s="26" t="s">
        <v>18</v>
      </c>
      <c r="B97" s="27" t="s">
        <v>60</v>
      </c>
      <c r="C97" s="32">
        <f>'Media de custo com mão de obra'!T9</f>
        <v>2.5000000000000001E-4</v>
      </c>
      <c r="D97" s="22">
        <f t="shared" ref="D97:D100" si="2">C97*$D$25</f>
        <v>0.39671699999999999</v>
      </c>
    </row>
    <row r="98" spans="1:4" x14ac:dyDescent="0.25">
      <c r="A98" s="26" t="s">
        <v>20</v>
      </c>
      <c r="B98" s="27" t="s">
        <v>61</v>
      </c>
      <c r="C98" s="32">
        <f>'Media de custo com mão de obra'!T10</f>
        <v>2.0499999999999997E-3</v>
      </c>
      <c r="D98" s="22">
        <f t="shared" si="2"/>
        <v>3.2530793999999994</v>
      </c>
    </row>
    <row r="99" spans="1:4" x14ac:dyDescent="0.25">
      <c r="A99" s="26" t="s">
        <v>21</v>
      </c>
      <c r="B99" s="27" t="s">
        <v>62</v>
      </c>
      <c r="C99" s="32">
        <f>'Media de custo com mão de obra'!T11</f>
        <v>5.9999999999999995E-4</v>
      </c>
      <c r="D99" s="22">
        <f t="shared" si="2"/>
        <v>0.95212079999999988</v>
      </c>
    </row>
    <row r="100" spans="1:4" x14ac:dyDescent="0.25">
      <c r="A100" s="26" t="s">
        <v>23</v>
      </c>
      <c r="B100" s="27" t="s">
        <v>25</v>
      </c>
      <c r="C100" s="32">
        <f>'Media de custo com mão de obra'!T12</f>
        <v>0</v>
      </c>
      <c r="D100" s="22">
        <f t="shared" si="2"/>
        <v>0</v>
      </c>
    </row>
    <row r="101" spans="1:4" x14ac:dyDescent="0.25">
      <c r="A101" s="219" t="s">
        <v>42</v>
      </c>
      <c r="B101" s="219"/>
      <c r="C101" s="33"/>
      <c r="D101" s="29">
        <f>SUM(D95:E100)</f>
        <v>246.41772359502221</v>
      </c>
    </row>
    <row r="104" spans="1:4" x14ac:dyDescent="0.25">
      <c r="A104" s="228" t="s">
        <v>63</v>
      </c>
      <c r="B104" s="228"/>
      <c r="C104" s="228"/>
      <c r="D104" s="228"/>
    </row>
    <row r="105" spans="1:4" x14ac:dyDescent="0.25">
      <c r="A105" s="2"/>
    </row>
    <row r="106" spans="1:4" x14ac:dyDescent="0.25">
      <c r="A106" s="141" t="s">
        <v>64</v>
      </c>
      <c r="B106" s="141" t="s">
        <v>65</v>
      </c>
      <c r="C106" s="18"/>
      <c r="D106" s="141" t="s">
        <v>13</v>
      </c>
    </row>
    <row r="107" spans="1:4" x14ac:dyDescent="0.25">
      <c r="A107" s="26" t="s">
        <v>14</v>
      </c>
      <c r="B107" s="27" t="s">
        <v>82</v>
      </c>
      <c r="C107" s="18"/>
      <c r="D107" s="22">
        <v>0</v>
      </c>
    </row>
    <row r="108" spans="1:4" x14ac:dyDescent="0.25">
      <c r="A108" s="219" t="s">
        <v>1</v>
      </c>
      <c r="B108" s="219"/>
      <c r="C108" s="18"/>
      <c r="D108" s="22">
        <f>D107</f>
        <v>0</v>
      </c>
    </row>
    <row r="111" spans="1:4" x14ac:dyDescent="0.25">
      <c r="A111" s="228" t="s">
        <v>66</v>
      </c>
      <c r="B111" s="228"/>
      <c r="C111" s="228"/>
      <c r="D111" s="228"/>
    </row>
    <row r="112" spans="1:4" x14ac:dyDescent="0.25">
      <c r="A112" s="2"/>
    </row>
    <row r="113" spans="1:4" x14ac:dyDescent="0.25">
      <c r="A113" s="141">
        <v>4</v>
      </c>
      <c r="B113" s="141" t="s">
        <v>67</v>
      </c>
      <c r="C113" s="18"/>
      <c r="D113" s="141" t="s">
        <v>13</v>
      </c>
    </row>
    <row r="114" spans="1:4" x14ac:dyDescent="0.25">
      <c r="A114" s="26" t="s">
        <v>58</v>
      </c>
      <c r="B114" s="27" t="s">
        <v>59</v>
      </c>
      <c r="C114" s="18"/>
      <c r="D114" s="22">
        <f>D101</f>
        <v>246.41772359502221</v>
      </c>
    </row>
    <row r="115" spans="1:4" x14ac:dyDescent="0.25">
      <c r="A115" s="26" t="s">
        <v>64</v>
      </c>
      <c r="B115" s="27" t="s">
        <v>65</v>
      </c>
      <c r="C115" s="18"/>
      <c r="D115" s="22">
        <f>D108</f>
        <v>0</v>
      </c>
    </row>
    <row r="116" spans="1:4" x14ac:dyDescent="0.25">
      <c r="A116" s="219" t="s">
        <v>1</v>
      </c>
      <c r="B116" s="219"/>
      <c r="C116" s="18"/>
      <c r="D116" s="22">
        <f>SUM(D114:D115)</f>
        <v>246.41772359502221</v>
      </c>
    </row>
    <row r="119" spans="1:4" x14ac:dyDescent="0.25">
      <c r="A119" s="229" t="s">
        <v>68</v>
      </c>
      <c r="B119" s="229"/>
      <c r="C119" s="229"/>
      <c r="D119" s="229"/>
    </row>
    <row r="121" spans="1:4" x14ac:dyDescent="0.25">
      <c r="A121" s="141">
        <v>5</v>
      </c>
      <c r="B121" s="30" t="s">
        <v>6</v>
      </c>
      <c r="C121" s="18"/>
      <c r="D121" s="141" t="s">
        <v>13</v>
      </c>
    </row>
    <row r="122" spans="1:4" x14ac:dyDescent="0.25">
      <c r="A122" s="26" t="s">
        <v>14</v>
      </c>
      <c r="B122" s="27" t="s">
        <v>69</v>
      </c>
      <c r="C122" s="18"/>
      <c r="D122" s="120">
        <f>Uniformes!P93</f>
        <v>54.001666666666665</v>
      </c>
    </row>
    <row r="123" spans="1:4" x14ac:dyDescent="0.25">
      <c r="A123" s="26" t="s">
        <v>16</v>
      </c>
      <c r="B123" s="27" t="s">
        <v>70</v>
      </c>
      <c r="C123" s="18"/>
      <c r="D123" s="22">
        <v>0</v>
      </c>
    </row>
    <row r="124" spans="1:4" x14ac:dyDescent="0.25">
      <c r="A124" s="26" t="s">
        <v>18</v>
      </c>
      <c r="B124" s="27" t="s">
        <v>89</v>
      </c>
      <c r="C124" s="18"/>
      <c r="D124" s="48"/>
    </row>
    <row r="125" spans="1:4" ht="31.5" x14ac:dyDescent="0.25">
      <c r="A125" s="26" t="s">
        <v>20</v>
      </c>
      <c r="B125" s="27" t="s">
        <v>338</v>
      </c>
      <c r="C125" s="18"/>
      <c r="D125" s="22">
        <f>155/103</f>
        <v>1.5048543689320388</v>
      </c>
    </row>
    <row r="126" spans="1:4" x14ac:dyDescent="0.25">
      <c r="A126" s="219" t="s">
        <v>42</v>
      </c>
      <c r="B126" s="219"/>
      <c r="C126" s="18"/>
      <c r="D126" s="120">
        <f>SUM(D122:E125)</f>
        <v>55.506521035598702</v>
      </c>
    </row>
    <row r="129" spans="1:6" x14ac:dyDescent="0.25">
      <c r="A129" s="229" t="s">
        <v>71</v>
      </c>
      <c r="B129" s="229"/>
      <c r="C129" s="229"/>
      <c r="D129" s="229"/>
    </row>
    <row r="130" spans="1:6" ht="16.5" thickBot="1" x14ac:dyDescent="0.3"/>
    <row r="131" spans="1:6" ht="16.5" thickBot="1" x14ac:dyDescent="0.3">
      <c r="A131" s="3">
        <v>6</v>
      </c>
      <c r="B131" s="7" t="s">
        <v>7</v>
      </c>
      <c r="C131" s="142" t="s">
        <v>35</v>
      </c>
      <c r="D131" s="142" t="s">
        <v>13</v>
      </c>
    </row>
    <row r="132" spans="1:6" ht="16.5" thickBot="1" x14ac:dyDescent="0.3">
      <c r="A132" s="4" t="s">
        <v>14</v>
      </c>
      <c r="B132" s="5" t="s">
        <v>8</v>
      </c>
      <c r="C132" s="14">
        <f>'Media de custo com mão de obra'!T14</f>
        <v>1.66E-2</v>
      </c>
      <c r="D132" s="11">
        <f>(D25+D74+D86+D116+D126)*C132</f>
        <v>60.912063855930072</v>
      </c>
    </row>
    <row r="133" spans="1:6" ht="16.5" thickBot="1" x14ac:dyDescent="0.3">
      <c r="A133" s="4" t="s">
        <v>131</v>
      </c>
      <c r="B133" s="5" t="s">
        <v>345</v>
      </c>
      <c r="C133" s="14"/>
      <c r="D133" s="11">
        <v>75</v>
      </c>
    </row>
    <row r="134" spans="1:6" ht="16.5" thickBot="1" x14ac:dyDescent="0.3">
      <c r="A134" s="4" t="s">
        <v>16</v>
      </c>
      <c r="B134" s="5" t="s">
        <v>10</v>
      </c>
      <c r="C134" s="14">
        <f>'Media de custo com mão de obra'!T15</f>
        <v>2.4500000000000001E-2</v>
      </c>
      <c r="D134" s="11">
        <f>(D25+D74+D86+D116+D126+D132+D133)*C134</f>
        <v>93.230180773523713</v>
      </c>
    </row>
    <row r="135" spans="1:6" ht="16.5" thickBot="1" x14ac:dyDescent="0.3">
      <c r="A135" s="4" t="s">
        <v>18</v>
      </c>
      <c r="B135" s="5" t="s">
        <v>9</v>
      </c>
      <c r="C135" s="14">
        <f>SUM(C136,C138)</f>
        <v>0.14250000000000002</v>
      </c>
      <c r="D135" s="11">
        <f>((D25+D74+D86+D116+D126+D132+D133+D134)/(1-(C135)))*C135</f>
        <v>647.86294419480907</v>
      </c>
    </row>
    <row r="136" spans="1:6" ht="16.5" thickBot="1" x14ac:dyDescent="0.3">
      <c r="A136" s="4"/>
      <c r="B136" s="5" t="s">
        <v>90</v>
      </c>
      <c r="C136" s="14">
        <f>1.65%+7.6%</f>
        <v>9.2499999999999999E-2</v>
      </c>
      <c r="D136" s="11">
        <f>((D25+D74+D86+D116+D126+D132+D133+D134)/(1-(C135)))*C136</f>
        <v>420.54261289838485</v>
      </c>
    </row>
    <row r="137" spans="1:6" ht="16.5" thickBot="1" x14ac:dyDescent="0.3">
      <c r="A137" s="4"/>
      <c r="B137" s="5" t="s">
        <v>72</v>
      </c>
      <c r="C137" s="14">
        <v>0</v>
      </c>
      <c r="D137" s="11"/>
    </row>
    <row r="138" spans="1:6" ht="16.5" thickBot="1" x14ac:dyDescent="0.3">
      <c r="A138" s="4"/>
      <c r="B138" s="5" t="s">
        <v>73</v>
      </c>
      <c r="C138" s="14">
        <v>0.05</v>
      </c>
      <c r="D138" s="11">
        <f>((D25+D74+D86+D116+D126+D132+D133+D134)/(1-(C135)))*C138</f>
        <v>227.32033129642423</v>
      </c>
      <c r="F138" s="54">
        <f>D136+D138</f>
        <v>647.86294419480907</v>
      </c>
    </row>
    <row r="139" spans="1:6" ht="16.5" thickBot="1" x14ac:dyDescent="0.3">
      <c r="A139" s="220" t="s">
        <v>42</v>
      </c>
      <c r="B139" s="221"/>
      <c r="C139" s="14">
        <f>SUM(C132:C135)</f>
        <v>0.18360000000000001</v>
      </c>
      <c r="D139" s="11">
        <f>SUM(D132:D135)</f>
        <v>877.00518882426286</v>
      </c>
    </row>
    <row r="142" spans="1:6" x14ac:dyDescent="0.25">
      <c r="A142" s="229" t="s">
        <v>74</v>
      </c>
      <c r="B142" s="229"/>
      <c r="C142" s="229"/>
      <c r="D142" s="229"/>
    </row>
    <row r="143" spans="1:6" ht="16.5" thickBot="1" x14ac:dyDescent="0.3"/>
    <row r="144" spans="1:6" ht="16.5" thickBot="1" x14ac:dyDescent="0.3">
      <c r="A144" s="3"/>
      <c r="B144" s="142" t="s">
        <v>75</v>
      </c>
      <c r="C144" s="142"/>
      <c r="D144" s="142" t="s">
        <v>13</v>
      </c>
    </row>
    <row r="145" spans="1:7" ht="16.5" thickBot="1" x14ac:dyDescent="0.3">
      <c r="A145" s="9" t="s">
        <v>14</v>
      </c>
      <c r="B145" s="5" t="s">
        <v>11</v>
      </c>
      <c r="C145" s="14"/>
      <c r="D145" s="12">
        <f>D25</f>
        <v>1586.8679999999999</v>
      </c>
    </row>
    <row r="146" spans="1:7" ht="16.5" thickBot="1" x14ac:dyDescent="0.3">
      <c r="A146" s="9" t="s">
        <v>16</v>
      </c>
      <c r="B146" s="5" t="s">
        <v>26</v>
      </c>
      <c r="C146" s="14"/>
      <c r="D146" s="12">
        <f>D74</f>
        <v>1667.822232</v>
      </c>
    </row>
    <row r="147" spans="1:7" ht="16.5" thickBot="1" x14ac:dyDescent="0.3">
      <c r="A147" s="9" t="s">
        <v>18</v>
      </c>
      <c r="B147" s="5" t="s">
        <v>48</v>
      </c>
      <c r="C147" s="14"/>
      <c r="D147" s="12">
        <f>D86</f>
        <v>112.7869604736</v>
      </c>
    </row>
    <row r="148" spans="1:7" ht="16.5" thickBot="1" x14ac:dyDescent="0.3">
      <c r="A148" s="9" t="s">
        <v>20</v>
      </c>
      <c r="B148" s="5" t="s">
        <v>56</v>
      </c>
      <c r="C148" s="14"/>
      <c r="D148" s="12">
        <f>D116</f>
        <v>246.41772359502221</v>
      </c>
    </row>
    <row r="149" spans="1:7" ht="16.5" thickBot="1" x14ac:dyDescent="0.3">
      <c r="A149" s="9" t="s">
        <v>21</v>
      </c>
      <c r="B149" s="5" t="s">
        <v>68</v>
      </c>
      <c r="C149" s="14"/>
      <c r="D149" s="12">
        <f>D126</f>
        <v>55.506521035598702</v>
      </c>
    </row>
    <row r="150" spans="1:7" ht="16.5" thickBot="1" x14ac:dyDescent="0.3">
      <c r="A150" s="220" t="s">
        <v>76</v>
      </c>
      <c r="B150" s="221"/>
      <c r="C150" s="14"/>
      <c r="D150" s="12">
        <f>SUM(D145:D149)</f>
        <v>3669.4014371042213</v>
      </c>
    </row>
    <row r="151" spans="1:7" ht="16.5" thickBot="1" x14ac:dyDescent="0.3">
      <c r="A151" s="9" t="s">
        <v>23</v>
      </c>
      <c r="B151" s="5" t="s">
        <v>77</v>
      </c>
      <c r="C151" s="14"/>
      <c r="D151" s="12">
        <f>D139</f>
        <v>877.00518882426286</v>
      </c>
    </row>
    <row r="152" spans="1:7" ht="16.5" thickBot="1" x14ac:dyDescent="0.3">
      <c r="A152" s="220" t="s">
        <v>78</v>
      </c>
      <c r="B152" s="221"/>
      <c r="D152" s="12">
        <f>SUM(D150:D151)</f>
        <v>4546.4066259284846</v>
      </c>
      <c r="F152" s="201">
        <v>4456.8</v>
      </c>
      <c r="G152" s="54">
        <f>D152-F152</f>
        <v>89.606625928484391</v>
      </c>
    </row>
  </sheetData>
  <mergeCells count="43">
    <mergeCell ref="A25:B25"/>
    <mergeCell ref="A1:D1"/>
    <mergeCell ref="A2:D2"/>
    <mergeCell ref="A3:D3"/>
    <mergeCell ref="A5:D5"/>
    <mergeCell ref="C6:D6"/>
    <mergeCell ref="C7:D7"/>
    <mergeCell ref="C8:D8"/>
    <mergeCell ref="C9:D9"/>
    <mergeCell ref="C10:D10"/>
    <mergeCell ref="C11:D11"/>
    <mergeCell ref="A15:D15"/>
    <mergeCell ref="A58:D58"/>
    <mergeCell ref="A28:D28"/>
    <mergeCell ref="A30:D30"/>
    <mergeCell ref="A35:B35"/>
    <mergeCell ref="A37:D37"/>
    <mergeCell ref="A38:D38"/>
    <mergeCell ref="A39:D39"/>
    <mergeCell ref="A41:D41"/>
    <mergeCell ref="A52:B52"/>
    <mergeCell ref="A54:D54"/>
    <mergeCell ref="A55:D55"/>
    <mergeCell ref="A56:D56"/>
    <mergeCell ref="A116:B116"/>
    <mergeCell ref="A65:B65"/>
    <mergeCell ref="A68:D68"/>
    <mergeCell ref="A74:B74"/>
    <mergeCell ref="A77:D77"/>
    <mergeCell ref="A86:B86"/>
    <mergeCell ref="A89:D89"/>
    <mergeCell ref="A92:D92"/>
    <mergeCell ref="A101:B101"/>
    <mergeCell ref="A104:D104"/>
    <mergeCell ref="A108:B108"/>
    <mergeCell ref="A111:D111"/>
    <mergeCell ref="A152:B152"/>
    <mergeCell ref="A119:D119"/>
    <mergeCell ref="A126:B126"/>
    <mergeCell ref="A129:D129"/>
    <mergeCell ref="A139:B139"/>
    <mergeCell ref="A142:D142"/>
    <mergeCell ref="A150:B150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  <rowBreaks count="3" manualBreakCount="3">
    <brk id="57" max="3" man="1"/>
    <brk id="75" max="16383" man="1"/>
    <brk id="140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54AD6-2188-4773-963D-E04363D44F3B}">
  <sheetPr>
    <pageSetUpPr fitToPage="1"/>
  </sheetPr>
  <dimension ref="A1:G151"/>
  <sheetViews>
    <sheetView showGridLines="0" view="pageBreakPreview" topLeftCell="A82" zoomScaleNormal="115" zoomScaleSheetLayoutView="100" workbookViewId="0">
      <selection activeCell="D125" sqref="D125"/>
    </sheetView>
  </sheetViews>
  <sheetFormatPr defaultColWidth="9.140625" defaultRowHeight="15.75" x14ac:dyDescent="0.25"/>
  <cols>
    <col min="1" max="1" width="9.140625" style="8"/>
    <col min="2" max="2" width="94.42578125" style="8" customWidth="1"/>
    <col min="3" max="3" width="20" style="8" customWidth="1"/>
    <col min="4" max="4" width="19.140625" style="8" customWidth="1"/>
    <col min="5" max="5" width="12.7109375" style="8" hidden="1" customWidth="1"/>
    <col min="6" max="6" width="38.42578125" style="8" customWidth="1"/>
    <col min="7" max="7" width="15.140625" style="8" customWidth="1"/>
    <col min="8" max="16384" width="9.140625" style="8"/>
  </cols>
  <sheetData>
    <row r="1" spans="1:6" ht="23.25" x14ac:dyDescent="0.35">
      <c r="A1" s="232" t="s">
        <v>79</v>
      </c>
      <c r="B1" s="232"/>
      <c r="C1" s="232"/>
      <c r="D1" s="232"/>
    </row>
    <row r="2" spans="1:6" ht="23.25" x14ac:dyDescent="0.35">
      <c r="A2" s="232" t="s">
        <v>80</v>
      </c>
      <c r="B2" s="232"/>
      <c r="C2" s="232"/>
      <c r="D2" s="232"/>
    </row>
    <row r="3" spans="1:6" x14ac:dyDescent="0.25">
      <c r="A3" s="233" t="s">
        <v>81</v>
      </c>
      <c r="B3" s="233"/>
      <c r="C3" s="233"/>
      <c r="D3" s="233"/>
    </row>
    <row r="4" spans="1:6" x14ac:dyDescent="0.25">
      <c r="A4" s="193"/>
      <c r="B4" s="193"/>
      <c r="C4" s="193"/>
      <c r="D4" s="193"/>
    </row>
    <row r="5" spans="1:6" x14ac:dyDescent="0.25">
      <c r="A5" s="235" t="s">
        <v>135</v>
      </c>
      <c r="B5" s="235"/>
      <c r="C5" s="235"/>
      <c r="D5" s="235"/>
    </row>
    <row r="6" spans="1:6" x14ac:dyDescent="0.25">
      <c r="A6" s="26" t="s">
        <v>14</v>
      </c>
      <c r="B6" s="62" t="s">
        <v>137</v>
      </c>
      <c r="C6" s="224" t="s">
        <v>346</v>
      </c>
      <c r="D6" s="225"/>
    </row>
    <row r="7" spans="1:6" ht="15.75" customHeight="1" x14ac:dyDescent="0.25">
      <c r="A7" s="26" t="s">
        <v>16</v>
      </c>
      <c r="B7" s="62" t="s">
        <v>141</v>
      </c>
      <c r="C7" s="245" t="s">
        <v>352</v>
      </c>
      <c r="D7" s="246"/>
    </row>
    <row r="8" spans="1:6" x14ac:dyDescent="0.25">
      <c r="A8" s="26" t="s">
        <v>18</v>
      </c>
      <c r="B8" s="62" t="s">
        <v>140</v>
      </c>
      <c r="C8" s="241">
        <v>2491</v>
      </c>
      <c r="D8" s="223"/>
      <c r="F8" s="8">
        <v>2117</v>
      </c>
    </row>
    <row r="9" spans="1:6" x14ac:dyDescent="0.25">
      <c r="A9" s="26" t="s">
        <v>20</v>
      </c>
      <c r="B9" s="62" t="s">
        <v>138</v>
      </c>
      <c r="C9" s="224" t="s">
        <v>347</v>
      </c>
      <c r="D9" s="225"/>
    </row>
    <row r="10" spans="1:6" x14ac:dyDescent="0.25">
      <c r="A10" s="26" t="s">
        <v>21</v>
      </c>
      <c r="B10" s="62" t="s">
        <v>139</v>
      </c>
      <c r="C10" s="230">
        <v>42917</v>
      </c>
      <c r="D10" s="225"/>
    </row>
    <row r="11" spans="1:6" x14ac:dyDescent="0.25">
      <c r="A11" s="26" t="s">
        <v>23</v>
      </c>
      <c r="B11" s="191" t="s">
        <v>136</v>
      </c>
      <c r="C11" s="244">
        <v>12</v>
      </c>
      <c r="D11" s="244"/>
    </row>
    <row r="12" spans="1:6" x14ac:dyDescent="0.25">
      <c r="A12" s="203" t="s">
        <v>24</v>
      </c>
      <c r="B12" s="204" t="s">
        <v>348</v>
      </c>
      <c r="C12" s="242">
        <v>1621</v>
      </c>
      <c r="D12" s="243"/>
    </row>
    <row r="13" spans="1:6" x14ac:dyDescent="0.25">
      <c r="A13" s="193"/>
      <c r="B13" s="193"/>
      <c r="C13" s="193"/>
      <c r="D13" s="193"/>
    </row>
    <row r="14" spans="1:6" ht="6" customHeight="1" x14ac:dyDescent="0.25"/>
    <row r="15" spans="1:6" x14ac:dyDescent="0.25">
      <c r="A15" s="234" t="s">
        <v>11</v>
      </c>
      <c r="B15" s="234"/>
      <c r="C15" s="234"/>
      <c r="D15" s="234"/>
    </row>
    <row r="17" spans="1:6" x14ac:dyDescent="0.25">
      <c r="A17" s="189">
        <v>1</v>
      </c>
      <c r="B17" s="189" t="s">
        <v>12</v>
      </c>
      <c r="C17" s="18"/>
      <c r="D17" s="189" t="s">
        <v>13</v>
      </c>
    </row>
    <row r="18" spans="1:6" ht="16.5" thickBot="1" x14ac:dyDescent="0.3">
      <c r="A18" s="26" t="s">
        <v>14</v>
      </c>
      <c r="B18" s="27" t="s">
        <v>15</v>
      </c>
      <c r="C18" s="18"/>
      <c r="D18" s="11">
        <f>C8</f>
        <v>2491</v>
      </c>
    </row>
    <row r="19" spans="1:6" x14ac:dyDescent="0.25">
      <c r="A19" s="26" t="s">
        <v>16</v>
      </c>
      <c r="B19" s="27" t="s">
        <v>17</v>
      </c>
      <c r="C19" s="18"/>
      <c r="D19" s="22"/>
    </row>
    <row r="20" spans="1:6" x14ac:dyDescent="0.25">
      <c r="A20" s="26" t="s">
        <v>18</v>
      </c>
      <c r="B20" s="27" t="s">
        <v>19</v>
      </c>
      <c r="C20" s="202">
        <v>0.2</v>
      </c>
      <c r="D20" s="22">
        <f>C20*C12</f>
        <v>324.20000000000005</v>
      </c>
    </row>
    <row r="21" spans="1:6" x14ac:dyDescent="0.25">
      <c r="A21" s="26" t="s">
        <v>20</v>
      </c>
      <c r="B21" s="27" t="s">
        <v>0</v>
      </c>
      <c r="C21" s="18"/>
      <c r="D21" s="22"/>
    </row>
    <row r="22" spans="1:6" x14ac:dyDescent="0.25">
      <c r="A22" s="26" t="s">
        <v>21</v>
      </c>
      <c r="B22" s="27" t="s">
        <v>22</v>
      </c>
      <c r="C22" s="18"/>
      <c r="D22" s="22"/>
    </row>
    <row r="23" spans="1:6" x14ac:dyDescent="0.25">
      <c r="A23" s="26"/>
      <c r="B23" s="27"/>
      <c r="C23" s="18"/>
      <c r="D23" s="22"/>
    </row>
    <row r="24" spans="1:6" x14ac:dyDescent="0.25">
      <c r="A24" s="26" t="s">
        <v>24</v>
      </c>
      <c r="B24" s="27" t="s">
        <v>25</v>
      </c>
      <c r="C24" s="18"/>
      <c r="D24" s="22"/>
    </row>
    <row r="25" spans="1:6" x14ac:dyDescent="0.25">
      <c r="A25" s="219" t="s">
        <v>1</v>
      </c>
      <c r="B25" s="219"/>
      <c r="C25" s="18"/>
      <c r="D25" s="120">
        <f>SUM(D18:D24)</f>
        <v>2815.2</v>
      </c>
      <c r="F25" s="146"/>
    </row>
    <row r="27" spans="1:6" ht="5.45" customHeight="1" x14ac:dyDescent="0.25"/>
    <row r="28" spans="1:6" x14ac:dyDescent="0.25">
      <c r="A28" s="229" t="s">
        <v>26</v>
      </c>
      <c r="B28" s="229"/>
      <c r="C28" s="229"/>
      <c r="D28" s="229"/>
    </row>
    <row r="29" spans="1:6" x14ac:dyDescent="0.25">
      <c r="A29" s="2"/>
    </row>
    <row r="30" spans="1:6" x14ac:dyDescent="0.25">
      <c r="A30" s="228" t="s">
        <v>27</v>
      </c>
      <c r="B30" s="228"/>
      <c r="C30" s="228"/>
      <c r="D30" s="228"/>
    </row>
    <row r="31" spans="1:6" ht="16.5" thickBot="1" x14ac:dyDescent="0.3"/>
    <row r="32" spans="1:6" ht="16.5" thickBot="1" x14ac:dyDescent="0.3">
      <c r="A32" s="3" t="s">
        <v>28</v>
      </c>
      <c r="B32" s="192" t="s">
        <v>29</v>
      </c>
      <c r="C32" s="20" t="s">
        <v>91</v>
      </c>
      <c r="D32" s="21" t="s">
        <v>13</v>
      </c>
    </row>
    <row r="33" spans="1:4" ht="16.5" thickBot="1" x14ac:dyDescent="0.3">
      <c r="A33" s="4" t="s">
        <v>14</v>
      </c>
      <c r="B33" s="19" t="s">
        <v>30</v>
      </c>
      <c r="C33" s="23">
        <f>1/12</f>
        <v>8.3333333333333329E-2</v>
      </c>
      <c r="D33" s="22">
        <f>C33*D25</f>
        <v>234.59999999999997</v>
      </c>
    </row>
    <row r="34" spans="1:4" ht="16.5" thickBot="1" x14ac:dyDescent="0.3">
      <c r="A34" s="4" t="s">
        <v>16</v>
      </c>
      <c r="B34" s="19" t="s">
        <v>31</v>
      </c>
      <c r="C34" s="24">
        <f>1/12+1/12*1/3</f>
        <v>0.1111111111111111</v>
      </c>
      <c r="D34" s="22">
        <f>D25*C34</f>
        <v>312.79999999999995</v>
      </c>
    </row>
    <row r="35" spans="1:4" ht="16.5" thickBot="1" x14ac:dyDescent="0.3">
      <c r="A35" s="220" t="s">
        <v>1</v>
      </c>
      <c r="B35" s="227"/>
      <c r="C35" s="23">
        <f>SUM(C33:C34)</f>
        <v>0.19444444444444442</v>
      </c>
      <c r="D35" s="22">
        <f>SUM(D33:D34)</f>
        <v>547.39999999999986</v>
      </c>
    </row>
    <row r="36" spans="1:4" ht="3" customHeight="1" x14ac:dyDescent="0.25"/>
    <row r="37" spans="1:4" ht="62.45" customHeight="1" x14ac:dyDescent="0.25">
      <c r="A37" s="226" t="s">
        <v>92</v>
      </c>
      <c r="B37" s="226"/>
      <c r="C37" s="226"/>
      <c r="D37" s="226"/>
    </row>
    <row r="38" spans="1:4" ht="56.45" customHeight="1" x14ac:dyDescent="0.25">
      <c r="A38" s="226" t="s">
        <v>93</v>
      </c>
      <c r="B38" s="226"/>
      <c r="C38" s="226"/>
      <c r="D38" s="226"/>
    </row>
    <row r="39" spans="1:4" ht="65.45" customHeight="1" x14ac:dyDescent="0.25">
      <c r="A39" s="226" t="s">
        <v>94</v>
      </c>
      <c r="B39" s="226"/>
      <c r="C39" s="226"/>
      <c r="D39" s="226"/>
    </row>
    <row r="40" spans="1:4" ht="3.6" customHeight="1" x14ac:dyDescent="0.25"/>
    <row r="41" spans="1:4" ht="32.25" customHeight="1" x14ac:dyDescent="0.25">
      <c r="A41" s="231" t="s">
        <v>32</v>
      </c>
      <c r="B41" s="231"/>
      <c r="C41" s="231"/>
      <c r="D41" s="231"/>
    </row>
    <row r="42" spans="1:4" ht="16.5" thickBot="1" x14ac:dyDescent="0.3"/>
    <row r="43" spans="1:4" ht="16.5" thickBot="1" x14ac:dyDescent="0.3">
      <c r="A43" s="3" t="s">
        <v>33</v>
      </c>
      <c r="B43" s="190" t="s">
        <v>34</v>
      </c>
      <c r="C43" s="190" t="s">
        <v>35</v>
      </c>
      <c r="D43" s="190" t="s">
        <v>13</v>
      </c>
    </row>
    <row r="44" spans="1:4" ht="16.5" thickBot="1" x14ac:dyDescent="0.3">
      <c r="A44" s="4" t="s">
        <v>14</v>
      </c>
      <c r="B44" s="5" t="s">
        <v>36</v>
      </c>
      <c r="C44" s="6">
        <v>0.2</v>
      </c>
      <c r="D44" s="11">
        <f t="shared" ref="D44:D51" si="0">($D$25+$D$35)*C44</f>
        <v>672.52</v>
      </c>
    </row>
    <row r="45" spans="1:4" ht="16.5" thickBot="1" x14ac:dyDescent="0.3">
      <c r="A45" s="4" t="s">
        <v>16</v>
      </c>
      <c r="B45" s="5" t="s">
        <v>37</v>
      </c>
      <c r="C45" s="6">
        <v>2.5000000000000001E-2</v>
      </c>
      <c r="D45" s="11">
        <f t="shared" si="0"/>
        <v>84.064999999999998</v>
      </c>
    </row>
    <row r="46" spans="1:4" ht="16.5" thickBot="1" x14ac:dyDescent="0.3">
      <c r="A46" s="4" t="s">
        <v>18</v>
      </c>
      <c r="B46" s="5" t="s">
        <v>38</v>
      </c>
      <c r="C46" s="13">
        <v>0.03</v>
      </c>
      <c r="D46" s="11">
        <f t="shared" si="0"/>
        <v>100.87799999999999</v>
      </c>
    </row>
    <row r="47" spans="1:4" ht="16.5" thickBot="1" x14ac:dyDescent="0.3">
      <c r="A47" s="4" t="s">
        <v>20</v>
      </c>
      <c r="B47" s="5" t="s">
        <v>39</v>
      </c>
      <c r="C47" s="6">
        <v>1.4999999999999999E-2</v>
      </c>
      <c r="D47" s="11">
        <f t="shared" si="0"/>
        <v>50.438999999999993</v>
      </c>
    </row>
    <row r="48" spans="1:4" ht="16.5" thickBot="1" x14ac:dyDescent="0.3">
      <c r="A48" s="4" t="s">
        <v>21</v>
      </c>
      <c r="B48" s="5" t="s">
        <v>40</v>
      </c>
      <c r="C48" s="6">
        <v>0.01</v>
      </c>
      <c r="D48" s="11">
        <f t="shared" si="0"/>
        <v>33.625999999999998</v>
      </c>
    </row>
    <row r="49" spans="1:4" ht="16.5" thickBot="1" x14ac:dyDescent="0.3">
      <c r="A49" s="4" t="s">
        <v>23</v>
      </c>
      <c r="B49" s="5" t="s">
        <v>3</v>
      </c>
      <c r="C49" s="6">
        <v>6.0000000000000001E-3</v>
      </c>
      <c r="D49" s="11">
        <f t="shared" si="0"/>
        <v>20.175599999999996</v>
      </c>
    </row>
    <row r="50" spans="1:4" ht="16.5" thickBot="1" x14ac:dyDescent="0.3">
      <c r="A50" s="4" t="s">
        <v>24</v>
      </c>
      <c r="B50" s="5" t="s">
        <v>4</v>
      </c>
      <c r="C50" s="6">
        <v>2E-3</v>
      </c>
      <c r="D50" s="11">
        <f t="shared" si="0"/>
        <v>6.7251999999999992</v>
      </c>
    </row>
    <row r="51" spans="1:4" ht="16.5" thickBot="1" x14ac:dyDescent="0.3">
      <c r="A51" s="4" t="s">
        <v>41</v>
      </c>
      <c r="B51" s="5" t="s">
        <v>5</v>
      </c>
      <c r="C51" s="6">
        <v>0.08</v>
      </c>
      <c r="D51" s="11">
        <f t="shared" si="0"/>
        <v>269.00799999999998</v>
      </c>
    </row>
    <row r="52" spans="1:4" ht="16.5" thickBot="1" x14ac:dyDescent="0.3">
      <c r="A52" s="220" t="s">
        <v>42</v>
      </c>
      <c r="B52" s="221"/>
      <c r="C52" s="6">
        <f>SUM(C44:C51)</f>
        <v>0.36800000000000005</v>
      </c>
      <c r="D52" s="11">
        <f>SUM(D44:D51)</f>
        <v>1237.4367999999999</v>
      </c>
    </row>
    <row r="53" spans="1:4" ht="7.9" customHeight="1" x14ac:dyDescent="0.25"/>
    <row r="54" spans="1:4" ht="30.6" customHeight="1" x14ac:dyDescent="0.25">
      <c r="A54" s="226" t="s">
        <v>95</v>
      </c>
      <c r="B54" s="226"/>
      <c r="C54" s="226"/>
      <c r="D54" s="226"/>
    </row>
    <row r="55" spans="1:4" ht="37.15" customHeight="1" x14ac:dyDescent="0.25">
      <c r="A55" s="226" t="s">
        <v>96</v>
      </c>
      <c r="B55" s="226"/>
      <c r="C55" s="226"/>
      <c r="D55" s="226"/>
    </row>
    <row r="56" spans="1:4" ht="37.15" customHeight="1" x14ac:dyDescent="0.25">
      <c r="A56" s="226" t="s">
        <v>97</v>
      </c>
      <c r="B56" s="226"/>
      <c r="C56" s="226"/>
      <c r="D56" s="226"/>
    </row>
    <row r="57" spans="1:4" ht="6" customHeight="1" x14ac:dyDescent="0.25"/>
    <row r="58" spans="1:4" x14ac:dyDescent="0.25">
      <c r="A58" s="228" t="s">
        <v>43</v>
      </c>
      <c r="B58" s="228"/>
      <c r="C58" s="228"/>
      <c r="D58" s="228"/>
    </row>
    <row r="59" spans="1:4" ht="16.5" thickBot="1" x14ac:dyDescent="0.3"/>
    <row r="60" spans="1:4" ht="16.5" thickBot="1" x14ac:dyDescent="0.3">
      <c r="A60" s="189" t="s">
        <v>44</v>
      </c>
      <c r="B60" s="189" t="s">
        <v>45</v>
      </c>
      <c r="C60" s="190"/>
      <c r="D60" s="189" t="s">
        <v>13</v>
      </c>
    </row>
    <row r="61" spans="1:4" x14ac:dyDescent="0.25">
      <c r="A61" s="26" t="s">
        <v>14</v>
      </c>
      <c r="B61" s="27" t="s">
        <v>293</v>
      </c>
      <c r="C61" s="18"/>
      <c r="D61" s="22">
        <f>4.6*2*22-6%*D18</f>
        <v>52.939999999999969</v>
      </c>
    </row>
    <row r="62" spans="1:4" x14ac:dyDescent="0.25">
      <c r="A62" s="26" t="s">
        <v>16</v>
      </c>
      <c r="B62" s="27" t="s">
        <v>349</v>
      </c>
      <c r="C62" s="18"/>
      <c r="D62" s="22"/>
    </row>
    <row r="63" spans="1:4" x14ac:dyDescent="0.25">
      <c r="A63" s="26" t="s">
        <v>18</v>
      </c>
      <c r="B63" s="27" t="s">
        <v>88</v>
      </c>
      <c r="C63" s="18"/>
      <c r="D63" s="22"/>
    </row>
    <row r="64" spans="1:4" x14ac:dyDescent="0.25">
      <c r="A64" s="26" t="s">
        <v>20</v>
      </c>
      <c r="B64" s="27" t="s">
        <v>158</v>
      </c>
      <c r="C64" s="18"/>
      <c r="D64" s="22"/>
    </row>
    <row r="65" spans="1:4" x14ac:dyDescent="0.25">
      <c r="A65" s="219" t="s">
        <v>1</v>
      </c>
      <c r="B65" s="219"/>
      <c r="C65" s="18"/>
      <c r="D65" s="22">
        <f>SUM(D61:D64)</f>
        <v>52.939999999999969</v>
      </c>
    </row>
    <row r="68" spans="1:4" x14ac:dyDescent="0.25">
      <c r="A68" s="228" t="s">
        <v>46</v>
      </c>
      <c r="B68" s="228"/>
      <c r="C68" s="228"/>
      <c r="D68" s="228"/>
    </row>
    <row r="69" spans="1:4" ht="16.5" thickBot="1" x14ac:dyDescent="0.3"/>
    <row r="70" spans="1:4" ht="16.5" thickBot="1" x14ac:dyDescent="0.3">
      <c r="A70" s="189">
        <v>2</v>
      </c>
      <c r="B70" s="189" t="s">
        <v>47</v>
      </c>
      <c r="C70" s="190" t="s">
        <v>35</v>
      </c>
      <c r="D70" s="189" t="s">
        <v>13</v>
      </c>
    </row>
    <row r="71" spans="1:4" x14ac:dyDescent="0.25">
      <c r="A71" s="26" t="s">
        <v>28</v>
      </c>
      <c r="B71" s="27" t="s">
        <v>29</v>
      </c>
      <c r="C71" s="18"/>
      <c r="D71" s="22">
        <f>D35</f>
        <v>547.39999999999986</v>
      </c>
    </row>
    <row r="72" spans="1:4" x14ac:dyDescent="0.25">
      <c r="A72" s="26" t="s">
        <v>33</v>
      </c>
      <c r="B72" s="27" t="s">
        <v>34</v>
      </c>
      <c r="C72" s="18"/>
      <c r="D72" s="22">
        <f>D52</f>
        <v>1237.4367999999999</v>
      </c>
    </row>
    <row r="73" spans="1:4" x14ac:dyDescent="0.25">
      <c r="A73" s="26" t="s">
        <v>44</v>
      </c>
      <c r="B73" s="27" t="s">
        <v>45</v>
      </c>
      <c r="C73" s="18"/>
      <c r="D73" s="22">
        <f>D65</f>
        <v>52.939999999999969</v>
      </c>
    </row>
    <row r="74" spans="1:4" x14ac:dyDescent="0.25">
      <c r="A74" s="219" t="s">
        <v>1</v>
      </c>
      <c r="B74" s="219"/>
      <c r="C74" s="18"/>
      <c r="D74" s="29">
        <f>SUM(D71:D73)</f>
        <v>1837.7767999999999</v>
      </c>
    </row>
    <row r="75" spans="1:4" x14ac:dyDescent="0.25">
      <c r="A75" s="1"/>
    </row>
    <row r="77" spans="1:4" x14ac:dyDescent="0.25">
      <c r="A77" s="229" t="s">
        <v>48</v>
      </c>
      <c r="B77" s="229"/>
      <c r="C77" s="229"/>
      <c r="D77" s="229"/>
    </row>
    <row r="78" spans="1:4" ht="16.5" thickBot="1" x14ac:dyDescent="0.3"/>
    <row r="79" spans="1:4" ht="16.5" thickBot="1" x14ac:dyDescent="0.3">
      <c r="A79" s="189">
        <v>3</v>
      </c>
      <c r="B79" s="189" t="s">
        <v>49</v>
      </c>
      <c r="C79" s="190" t="s">
        <v>35</v>
      </c>
      <c r="D79" s="189" t="s">
        <v>13</v>
      </c>
    </row>
    <row r="80" spans="1:4" x14ac:dyDescent="0.25">
      <c r="A80" s="26" t="s">
        <v>14</v>
      </c>
      <c r="B80" s="28" t="s">
        <v>50</v>
      </c>
      <c r="C80" s="24">
        <f>'Media de custo com mão de obra'!T5</f>
        <v>4.1999999999999997E-3</v>
      </c>
      <c r="D80" s="22">
        <f>C80*$D$25</f>
        <v>11.823839999999999</v>
      </c>
    </row>
    <row r="81" spans="1:4" x14ac:dyDescent="0.25">
      <c r="A81" s="26" t="s">
        <v>16</v>
      </c>
      <c r="B81" s="28" t="s">
        <v>51</v>
      </c>
      <c r="C81" s="24">
        <f>C80*C51</f>
        <v>3.3599999999999998E-4</v>
      </c>
      <c r="D81" s="22">
        <f t="shared" ref="D81:D85" si="1">C81*$D$25</f>
        <v>0.94590719999999984</v>
      </c>
    </row>
    <row r="82" spans="1:4" x14ac:dyDescent="0.25">
      <c r="A82" s="26" t="s">
        <v>18</v>
      </c>
      <c r="B82" s="28" t="s">
        <v>52</v>
      </c>
      <c r="C82" s="24">
        <v>0.02</v>
      </c>
      <c r="D82" s="22">
        <f t="shared" si="1"/>
        <v>56.303999999999995</v>
      </c>
    </row>
    <row r="83" spans="1:4" x14ac:dyDescent="0.25">
      <c r="A83" s="26" t="s">
        <v>20</v>
      </c>
      <c r="B83" s="28" t="s">
        <v>53</v>
      </c>
      <c r="C83" s="24">
        <f>'Media de custo com mão de obra'!T6</f>
        <v>1.9400000000000001E-2</v>
      </c>
      <c r="D83" s="22">
        <f t="shared" si="1"/>
        <v>54.614879999999999</v>
      </c>
    </row>
    <row r="84" spans="1:4" x14ac:dyDescent="0.25">
      <c r="A84" s="26" t="s">
        <v>21</v>
      </c>
      <c r="B84" s="28" t="s">
        <v>54</v>
      </c>
      <c r="C84" s="24">
        <f>C83*C52</f>
        <v>7.1392000000000009E-3</v>
      </c>
      <c r="D84" s="22">
        <f t="shared" si="1"/>
        <v>20.098275840000003</v>
      </c>
    </row>
    <row r="85" spans="1:4" x14ac:dyDescent="0.25">
      <c r="A85" s="26" t="s">
        <v>23</v>
      </c>
      <c r="B85" s="28" t="s">
        <v>55</v>
      </c>
      <c r="C85" s="24">
        <v>0.02</v>
      </c>
      <c r="D85" s="22">
        <f t="shared" si="1"/>
        <v>56.303999999999995</v>
      </c>
    </row>
    <row r="86" spans="1:4" x14ac:dyDescent="0.25">
      <c r="A86" s="219" t="s">
        <v>1</v>
      </c>
      <c r="B86" s="219"/>
      <c r="C86" s="23">
        <f>SUM(C80:C85)</f>
        <v>7.1075200000000005E-2</v>
      </c>
      <c r="D86" s="22">
        <f>SUM(D80:D85)</f>
        <v>200.09090304</v>
      </c>
    </row>
    <row r="89" spans="1:4" x14ac:dyDescent="0.25">
      <c r="A89" s="229" t="s">
        <v>56</v>
      </c>
      <c r="B89" s="229"/>
      <c r="C89" s="229"/>
      <c r="D89" s="229"/>
    </row>
    <row r="92" spans="1:4" x14ac:dyDescent="0.25">
      <c r="A92" s="228" t="s">
        <v>57</v>
      </c>
      <c r="B92" s="228"/>
      <c r="C92" s="228"/>
      <c r="D92" s="228"/>
    </row>
    <row r="93" spans="1:4" ht="16.5" thickBot="1" x14ac:dyDescent="0.3">
      <c r="A93" s="2"/>
    </row>
    <row r="94" spans="1:4" ht="16.5" thickBot="1" x14ac:dyDescent="0.3">
      <c r="A94" s="189" t="s">
        <v>58</v>
      </c>
      <c r="B94" s="189" t="s">
        <v>59</v>
      </c>
      <c r="C94" s="190" t="s">
        <v>35</v>
      </c>
      <c r="D94" s="189" t="s">
        <v>13</v>
      </c>
    </row>
    <row r="95" spans="1:4" x14ac:dyDescent="0.25">
      <c r="A95" s="26" t="s">
        <v>14</v>
      </c>
      <c r="B95" s="27" t="s">
        <v>2</v>
      </c>
      <c r="C95" s="32">
        <f>D95/$D$25</f>
        <v>0.14208959999999998</v>
      </c>
      <c r="D95" s="22">
        <f>'Custo de Substitução nas Ferias'!P13</f>
        <v>400.01064191999996</v>
      </c>
    </row>
    <row r="96" spans="1:4" x14ac:dyDescent="0.25">
      <c r="A96" s="26" t="s">
        <v>16</v>
      </c>
      <c r="B96" s="27" t="s">
        <v>59</v>
      </c>
      <c r="C96" s="32">
        <f>'Media de custo com mão de obra'!T8</f>
        <v>6.0999999999999995E-3</v>
      </c>
      <c r="D96" s="22">
        <f>C96*$D$25</f>
        <v>17.172719999999998</v>
      </c>
    </row>
    <row r="97" spans="1:4" x14ac:dyDescent="0.25">
      <c r="A97" s="26" t="s">
        <v>18</v>
      </c>
      <c r="B97" s="27" t="s">
        <v>60</v>
      </c>
      <c r="C97" s="32">
        <f>'Media de custo com mão de obra'!T9</f>
        <v>2.5000000000000001E-4</v>
      </c>
      <c r="D97" s="22">
        <f t="shared" ref="D97:D100" si="2">C97*$D$25</f>
        <v>0.70379999999999998</v>
      </c>
    </row>
    <row r="98" spans="1:4" x14ac:dyDescent="0.25">
      <c r="A98" s="26" t="s">
        <v>20</v>
      </c>
      <c r="B98" s="27" t="s">
        <v>61</v>
      </c>
      <c r="C98" s="32">
        <f>'Media de custo com mão de obra'!T10</f>
        <v>2.0499999999999997E-3</v>
      </c>
      <c r="D98" s="22">
        <f t="shared" si="2"/>
        <v>5.7711599999999992</v>
      </c>
    </row>
    <row r="99" spans="1:4" x14ac:dyDescent="0.25">
      <c r="A99" s="26" t="s">
        <v>21</v>
      </c>
      <c r="B99" s="27" t="s">
        <v>62</v>
      </c>
      <c r="C99" s="32">
        <f>'Media de custo com mão de obra'!T11</f>
        <v>5.9999999999999995E-4</v>
      </c>
      <c r="D99" s="22">
        <f t="shared" si="2"/>
        <v>1.6891199999999997</v>
      </c>
    </row>
    <row r="100" spans="1:4" x14ac:dyDescent="0.25">
      <c r="A100" s="26" t="s">
        <v>23</v>
      </c>
      <c r="B100" s="27" t="s">
        <v>25</v>
      </c>
      <c r="C100" s="32">
        <f>'Media de custo com mão de obra'!T12</f>
        <v>0</v>
      </c>
      <c r="D100" s="22">
        <f t="shared" si="2"/>
        <v>0</v>
      </c>
    </row>
    <row r="101" spans="1:4" x14ac:dyDescent="0.25">
      <c r="A101" s="219" t="s">
        <v>42</v>
      </c>
      <c r="B101" s="219"/>
      <c r="C101" s="33"/>
      <c r="D101" s="29">
        <f>SUM(D95:E100)</f>
        <v>425.34744191999994</v>
      </c>
    </row>
    <row r="104" spans="1:4" x14ac:dyDescent="0.25">
      <c r="A104" s="228" t="s">
        <v>63</v>
      </c>
      <c r="B104" s="228"/>
      <c r="C104" s="228"/>
      <c r="D104" s="228"/>
    </row>
    <row r="105" spans="1:4" x14ac:dyDescent="0.25">
      <c r="A105" s="2"/>
    </row>
    <row r="106" spans="1:4" x14ac:dyDescent="0.25">
      <c r="A106" s="189" t="s">
        <v>64</v>
      </c>
      <c r="B106" s="189" t="s">
        <v>65</v>
      </c>
      <c r="C106" s="18"/>
      <c r="D106" s="189" t="s">
        <v>13</v>
      </c>
    </row>
    <row r="107" spans="1:4" x14ac:dyDescent="0.25">
      <c r="A107" s="26" t="s">
        <v>14</v>
      </c>
      <c r="B107" s="27" t="s">
        <v>82</v>
      </c>
      <c r="C107" s="18"/>
      <c r="D107" s="22">
        <v>0</v>
      </c>
    </row>
    <row r="108" spans="1:4" x14ac:dyDescent="0.25">
      <c r="A108" s="219" t="s">
        <v>1</v>
      </c>
      <c r="B108" s="219"/>
      <c r="C108" s="18"/>
      <c r="D108" s="22">
        <f>D107</f>
        <v>0</v>
      </c>
    </row>
    <row r="111" spans="1:4" x14ac:dyDescent="0.25">
      <c r="A111" s="228" t="s">
        <v>66</v>
      </c>
      <c r="B111" s="228"/>
      <c r="C111" s="228"/>
      <c r="D111" s="228"/>
    </row>
    <row r="112" spans="1:4" x14ac:dyDescent="0.25">
      <c r="A112" s="2"/>
    </row>
    <row r="113" spans="1:4" x14ac:dyDescent="0.25">
      <c r="A113" s="189">
        <v>4</v>
      </c>
      <c r="B113" s="189" t="s">
        <v>67</v>
      </c>
      <c r="C113" s="18"/>
      <c r="D113" s="189" t="s">
        <v>13</v>
      </c>
    </row>
    <row r="114" spans="1:4" x14ac:dyDescent="0.25">
      <c r="A114" s="26" t="s">
        <v>58</v>
      </c>
      <c r="B114" s="27" t="s">
        <v>59</v>
      </c>
      <c r="C114" s="18"/>
      <c r="D114" s="22">
        <f>D101</f>
        <v>425.34744191999994</v>
      </c>
    </row>
    <row r="115" spans="1:4" x14ac:dyDescent="0.25">
      <c r="A115" s="26" t="s">
        <v>64</v>
      </c>
      <c r="B115" s="27" t="s">
        <v>65</v>
      </c>
      <c r="C115" s="18"/>
      <c r="D115" s="22">
        <f>D108</f>
        <v>0</v>
      </c>
    </row>
    <row r="116" spans="1:4" x14ac:dyDescent="0.25">
      <c r="A116" s="219" t="s">
        <v>1</v>
      </c>
      <c r="B116" s="219"/>
      <c r="C116" s="18"/>
      <c r="D116" s="22">
        <f>SUM(D114:D115)</f>
        <v>425.34744191999994</v>
      </c>
    </row>
    <row r="119" spans="1:4" x14ac:dyDescent="0.25">
      <c r="A119" s="229" t="s">
        <v>68</v>
      </c>
      <c r="B119" s="229"/>
      <c r="C119" s="229"/>
      <c r="D119" s="229"/>
    </row>
    <row r="121" spans="1:4" x14ac:dyDescent="0.25">
      <c r="A121" s="189">
        <v>5</v>
      </c>
      <c r="B121" s="30" t="s">
        <v>6</v>
      </c>
      <c r="C121" s="18"/>
      <c r="D121" s="189" t="s">
        <v>13</v>
      </c>
    </row>
    <row r="122" spans="1:4" x14ac:dyDescent="0.25">
      <c r="A122" s="26" t="s">
        <v>14</v>
      </c>
      <c r="B122" s="27" t="s">
        <v>69</v>
      </c>
      <c r="C122" s="18"/>
      <c r="D122" s="120"/>
    </row>
    <row r="123" spans="1:4" x14ac:dyDescent="0.25">
      <c r="A123" s="26" t="s">
        <v>16</v>
      </c>
      <c r="B123" s="27" t="s">
        <v>70</v>
      </c>
      <c r="C123" s="18"/>
      <c r="D123" s="22">
        <f>Uniformes!P34</f>
        <v>24.530216666666664</v>
      </c>
    </row>
    <row r="124" spans="1:4" x14ac:dyDescent="0.25">
      <c r="A124" s="26" t="s">
        <v>18</v>
      </c>
      <c r="B124" s="27" t="s">
        <v>89</v>
      </c>
      <c r="C124" s="18"/>
      <c r="D124" s="48"/>
    </row>
    <row r="125" spans="1:4" x14ac:dyDescent="0.25">
      <c r="A125" s="26" t="s">
        <v>20</v>
      </c>
      <c r="B125" s="27" t="s">
        <v>351</v>
      </c>
      <c r="C125" s="18"/>
      <c r="D125" s="207">
        <f>155/4</f>
        <v>38.75</v>
      </c>
    </row>
    <row r="126" spans="1:4" x14ac:dyDescent="0.25">
      <c r="A126" s="219" t="s">
        <v>42</v>
      </c>
      <c r="B126" s="219"/>
      <c r="C126" s="18"/>
      <c r="D126" s="120">
        <f>SUM(D122:E125)</f>
        <v>63.280216666666661</v>
      </c>
    </row>
    <row r="129" spans="1:6" x14ac:dyDescent="0.25">
      <c r="A129" s="229" t="s">
        <v>71</v>
      </c>
      <c r="B129" s="229"/>
      <c r="C129" s="229"/>
      <c r="D129" s="229"/>
    </row>
    <row r="130" spans="1:6" ht="16.5" thickBot="1" x14ac:dyDescent="0.3"/>
    <row r="131" spans="1:6" ht="16.5" thickBot="1" x14ac:dyDescent="0.3">
      <c r="A131" s="3">
        <v>6</v>
      </c>
      <c r="B131" s="7" t="s">
        <v>7</v>
      </c>
      <c r="C131" s="190" t="s">
        <v>35</v>
      </c>
      <c r="D131" s="190" t="s">
        <v>13</v>
      </c>
    </row>
    <row r="132" spans="1:6" ht="16.5" thickBot="1" x14ac:dyDescent="0.3">
      <c r="A132" s="4" t="s">
        <v>14</v>
      </c>
      <c r="B132" s="5" t="s">
        <v>8</v>
      </c>
      <c r="C132" s="14">
        <f>'Media de custo com mão de obra'!T14</f>
        <v>1.66E-2</v>
      </c>
      <c r="D132" s="11">
        <f>(D25+D74+D86+D116+D126)*C132</f>
        <v>88.67214300300266</v>
      </c>
    </row>
    <row r="133" spans="1:6" ht="16.5" thickBot="1" x14ac:dyDescent="0.3">
      <c r="A133" s="4" t="s">
        <v>16</v>
      </c>
      <c r="B133" s="5" t="s">
        <v>10</v>
      </c>
      <c r="C133" s="14">
        <f>'Media de custo com mão de obra'!T15</f>
        <v>2.4500000000000001E-2</v>
      </c>
      <c r="D133" s="11">
        <f>(D25+D74+D86+D116+D126+D132)*C133</f>
        <v>133.04400386342689</v>
      </c>
    </row>
    <row r="134" spans="1:6" ht="16.5" thickBot="1" x14ac:dyDescent="0.3">
      <c r="A134" s="4" t="s">
        <v>18</v>
      </c>
      <c r="B134" s="5" t="s">
        <v>9</v>
      </c>
      <c r="C134" s="14">
        <f>SUM(C135,C137)</f>
        <v>0.14250000000000002</v>
      </c>
      <c r="D134" s="11">
        <f>((D25+D74+D86+D116+D126+D132+D133)/(1-(C134)))*C134</f>
        <v>924.53194164462548</v>
      </c>
    </row>
    <row r="135" spans="1:6" ht="16.5" thickBot="1" x14ac:dyDescent="0.3">
      <c r="A135" s="4"/>
      <c r="B135" s="5" t="s">
        <v>90</v>
      </c>
      <c r="C135" s="14">
        <f>1.65%+7.6%</f>
        <v>9.2499999999999999E-2</v>
      </c>
      <c r="D135" s="11">
        <f>((D25+D74+D86+D116+D126+D132+D133)/(1-(C134)))*C135</f>
        <v>600.13476913773923</v>
      </c>
    </row>
    <row r="136" spans="1:6" ht="16.5" thickBot="1" x14ac:dyDescent="0.3">
      <c r="A136" s="4"/>
      <c r="B136" s="5" t="s">
        <v>72</v>
      </c>
      <c r="C136" s="14">
        <v>0</v>
      </c>
      <c r="D136" s="11"/>
    </row>
    <row r="137" spans="1:6" ht="16.5" thickBot="1" x14ac:dyDescent="0.3">
      <c r="A137" s="4"/>
      <c r="B137" s="5" t="s">
        <v>73</v>
      </c>
      <c r="C137" s="14">
        <v>0.05</v>
      </c>
      <c r="D137" s="11">
        <f>((D25+D74+D86+D116+D126+D132+D133)/(1-(C134)))*C137</f>
        <v>324.39717250688614</v>
      </c>
      <c r="F137" s="54">
        <f>D135+D137</f>
        <v>924.53194164462536</v>
      </c>
    </row>
    <row r="138" spans="1:6" ht="16.5" thickBot="1" x14ac:dyDescent="0.3">
      <c r="A138" s="220" t="s">
        <v>42</v>
      </c>
      <c r="B138" s="221"/>
      <c r="C138" s="14">
        <f>SUM(C132:C134)</f>
        <v>0.18360000000000001</v>
      </c>
      <c r="D138" s="11">
        <f>SUM(D132:D134)</f>
        <v>1146.2480885110549</v>
      </c>
    </row>
    <row r="141" spans="1:6" x14ac:dyDescent="0.25">
      <c r="A141" s="229" t="s">
        <v>74</v>
      </c>
      <c r="B141" s="229"/>
      <c r="C141" s="229"/>
      <c r="D141" s="229"/>
    </row>
    <row r="142" spans="1:6" ht="16.5" thickBot="1" x14ac:dyDescent="0.3"/>
    <row r="143" spans="1:6" ht="16.5" thickBot="1" x14ac:dyDescent="0.3">
      <c r="A143" s="3"/>
      <c r="B143" s="190" t="s">
        <v>75</v>
      </c>
      <c r="C143" s="190"/>
      <c r="D143" s="190" t="s">
        <v>13</v>
      </c>
    </row>
    <row r="144" spans="1:6" ht="16.5" thickBot="1" x14ac:dyDescent="0.3">
      <c r="A144" s="9" t="s">
        <v>14</v>
      </c>
      <c r="B144" s="5" t="s">
        <v>11</v>
      </c>
      <c r="C144" s="14"/>
      <c r="D144" s="12">
        <f>D25</f>
        <v>2815.2</v>
      </c>
    </row>
    <row r="145" spans="1:7" ht="16.5" thickBot="1" x14ac:dyDescent="0.3">
      <c r="A145" s="9" t="s">
        <v>16</v>
      </c>
      <c r="B145" s="5" t="s">
        <v>26</v>
      </c>
      <c r="C145" s="14"/>
      <c r="D145" s="12">
        <f>D74</f>
        <v>1837.7767999999999</v>
      </c>
    </row>
    <row r="146" spans="1:7" ht="16.5" thickBot="1" x14ac:dyDescent="0.3">
      <c r="A146" s="9" t="s">
        <v>18</v>
      </c>
      <c r="B146" s="5" t="s">
        <v>48</v>
      </c>
      <c r="C146" s="14"/>
      <c r="D146" s="12">
        <f>D86</f>
        <v>200.09090304</v>
      </c>
    </row>
    <row r="147" spans="1:7" ht="16.5" thickBot="1" x14ac:dyDescent="0.3">
      <c r="A147" s="9" t="s">
        <v>20</v>
      </c>
      <c r="B147" s="5" t="s">
        <v>56</v>
      </c>
      <c r="C147" s="14"/>
      <c r="D147" s="12">
        <f>D116</f>
        <v>425.34744191999994</v>
      </c>
    </row>
    <row r="148" spans="1:7" ht="16.5" thickBot="1" x14ac:dyDescent="0.3">
      <c r="A148" s="9" t="s">
        <v>21</v>
      </c>
      <c r="B148" s="5" t="s">
        <v>68</v>
      </c>
      <c r="C148" s="14"/>
      <c r="D148" s="12">
        <f>D126</f>
        <v>63.280216666666661</v>
      </c>
    </row>
    <row r="149" spans="1:7" ht="16.5" thickBot="1" x14ac:dyDescent="0.3">
      <c r="A149" s="220" t="s">
        <v>76</v>
      </c>
      <c r="B149" s="221"/>
      <c r="C149" s="14"/>
      <c r="D149" s="12">
        <f>SUM(D144:D148)</f>
        <v>5341.6953616266665</v>
      </c>
    </row>
    <row r="150" spans="1:7" ht="16.5" thickBot="1" x14ac:dyDescent="0.3">
      <c r="A150" s="9" t="s">
        <v>23</v>
      </c>
      <c r="B150" s="5" t="s">
        <v>77</v>
      </c>
      <c r="C150" s="14"/>
      <c r="D150" s="197">
        <f>D138</f>
        <v>1146.2480885110549</v>
      </c>
    </row>
    <row r="151" spans="1:7" ht="16.5" thickBot="1" x14ac:dyDescent="0.3">
      <c r="A151" s="220" t="s">
        <v>78</v>
      </c>
      <c r="B151" s="221"/>
      <c r="D151" s="199">
        <f>SUM(D149:D150)</f>
        <v>6487.9434501377218</v>
      </c>
      <c r="F151" s="201">
        <v>4456.8</v>
      </c>
      <c r="G151" s="54">
        <f>D151-F151</f>
        <v>2031.1434501377216</v>
      </c>
    </row>
  </sheetData>
  <mergeCells count="44">
    <mergeCell ref="C7:D7"/>
    <mergeCell ref="A1:D1"/>
    <mergeCell ref="A2:D2"/>
    <mergeCell ref="A3:D3"/>
    <mergeCell ref="A5:D5"/>
    <mergeCell ref="C6:D6"/>
    <mergeCell ref="A39:D39"/>
    <mergeCell ref="C8:D8"/>
    <mergeCell ref="C9:D9"/>
    <mergeCell ref="C10:D10"/>
    <mergeCell ref="C11:D11"/>
    <mergeCell ref="A15:D15"/>
    <mergeCell ref="A25:B25"/>
    <mergeCell ref="A28:D28"/>
    <mergeCell ref="A30:D30"/>
    <mergeCell ref="A35:B35"/>
    <mergeCell ref="A37:D37"/>
    <mergeCell ref="A38:D38"/>
    <mergeCell ref="A74:B74"/>
    <mergeCell ref="A77:D77"/>
    <mergeCell ref="A86:B86"/>
    <mergeCell ref="A89:D89"/>
    <mergeCell ref="A41:D41"/>
    <mergeCell ref="A52:B52"/>
    <mergeCell ref="A54:D54"/>
    <mergeCell ref="A55:D55"/>
    <mergeCell ref="A56:D56"/>
    <mergeCell ref="A58:D58"/>
    <mergeCell ref="A151:B151"/>
    <mergeCell ref="C12:D12"/>
    <mergeCell ref="A119:D119"/>
    <mergeCell ref="A126:B126"/>
    <mergeCell ref="A129:D129"/>
    <mergeCell ref="A138:B138"/>
    <mergeCell ref="A141:D141"/>
    <mergeCell ref="A149:B149"/>
    <mergeCell ref="A92:D92"/>
    <mergeCell ref="A101:B101"/>
    <mergeCell ref="A104:D104"/>
    <mergeCell ref="A108:B108"/>
    <mergeCell ref="A111:D111"/>
    <mergeCell ref="A116:B116"/>
    <mergeCell ref="A65:B65"/>
    <mergeCell ref="A68:D68"/>
  </mergeCells>
  <pageMargins left="0.511811024" right="0.511811024" top="0.78740157499999996" bottom="0.78740157499999996" header="0.31496062000000002" footer="0.31496062000000002"/>
  <pageSetup paperSize="9" scale="64" fitToHeight="0" orientation="portrait" r:id="rId1"/>
  <rowBreaks count="3" manualBreakCount="3">
    <brk id="57" max="3" man="1"/>
    <brk id="75" max="16383" man="1"/>
    <brk id="139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CA354D-940E-4A00-A443-CE3BD0C37C73}">
  <dimension ref="A1:Q20"/>
  <sheetViews>
    <sheetView zoomScale="80" zoomScaleNormal="80" workbookViewId="0">
      <selection activeCell="H33" sqref="H33"/>
    </sheetView>
  </sheetViews>
  <sheetFormatPr defaultRowHeight="15" x14ac:dyDescent="0.25"/>
  <cols>
    <col min="2" max="2" width="35.85546875" customWidth="1"/>
    <col min="6" max="6" width="30.7109375" customWidth="1"/>
    <col min="7" max="7" width="37.42578125" bestFit="1" customWidth="1"/>
    <col min="8" max="8" width="38.85546875" customWidth="1"/>
    <col min="9" max="9" width="34.7109375" customWidth="1"/>
    <col min="10" max="11" width="37.140625" customWidth="1"/>
    <col min="12" max="12" width="23.28515625" customWidth="1"/>
    <col min="13" max="13" width="22.5703125" customWidth="1"/>
    <col min="14" max="14" width="19.28515625" customWidth="1"/>
    <col min="15" max="15" width="17.7109375" customWidth="1"/>
    <col min="16" max="16" width="24" customWidth="1"/>
    <col min="17" max="17" width="19.5703125" customWidth="1"/>
  </cols>
  <sheetData>
    <row r="1" spans="1:17" ht="161.25" customHeight="1" x14ac:dyDescent="0.25">
      <c r="A1" s="163"/>
      <c r="B1" s="163"/>
      <c r="C1" s="163"/>
      <c r="D1" s="163"/>
      <c r="E1" s="163"/>
      <c r="F1" s="163"/>
      <c r="G1" s="165" t="s">
        <v>317</v>
      </c>
      <c r="H1" s="166" t="s">
        <v>318</v>
      </c>
      <c r="I1" s="166" t="s">
        <v>319</v>
      </c>
      <c r="J1" s="165" t="s">
        <v>320</v>
      </c>
      <c r="K1" s="165"/>
      <c r="L1" s="163"/>
      <c r="M1" s="163"/>
      <c r="N1" s="163"/>
      <c r="O1" s="163"/>
      <c r="P1" s="163"/>
      <c r="Q1" s="163"/>
    </row>
    <row r="2" spans="1:17" ht="42" customHeight="1" x14ac:dyDescent="0.25">
      <c r="A2" s="70" t="s">
        <v>83</v>
      </c>
      <c r="B2" s="70" t="s">
        <v>130</v>
      </c>
      <c r="C2" s="70" t="s">
        <v>125</v>
      </c>
      <c r="D2" s="70" t="s">
        <v>132</v>
      </c>
      <c r="E2" s="70" t="s">
        <v>142</v>
      </c>
      <c r="F2" s="70" t="s">
        <v>297</v>
      </c>
      <c r="G2" s="70" t="s">
        <v>307</v>
      </c>
      <c r="H2" s="70" t="s">
        <v>309</v>
      </c>
      <c r="I2" s="70" t="s">
        <v>310</v>
      </c>
      <c r="J2" s="70" t="s">
        <v>316</v>
      </c>
      <c r="K2" s="70" t="s">
        <v>337</v>
      </c>
      <c r="L2" s="70" t="s">
        <v>231</v>
      </c>
      <c r="M2" s="70" t="s">
        <v>223</v>
      </c>
      <c r="N2" s="70" t="s">
        <v>224</v>
      </c>
      <c r="O2" s="70" t="s">
        <v>233</v>
      </c>
      <c r="P2" s="70" t="s">
        <v>321</v>
      </c>
      <c r="Q2" s="70" t="s">
        <v>322</v>
      </c>
    </row>
    <row r="3" spans="1:17" ht="22.5" customHeight="1" x14ac:dyDescent="0.25">
      <c r="A3" s="177">
        <v>1</v>
      </c>
      <c r="B3" s="178" t="s">
        <v>300</v>
      </c>
      <c r="C3" s="178" t="s">
        <v>296</v>
      </c>
      <c r="D3" s="179">
        <v>15890</v>
      </c>
      <c r="E3" s="180" t="s">
        <v>298</v>
      </c>
      <c r="F3" s="181">
        <f>150*3</f>
        <v>450</v>
      </c>
      <c r="G3" s="182">
        <v>177.48</v>
      </c>
      <c r="H3" s="182">
        <v>286.52</v>
      </c>
      <c r="I3" s="182">
        <v>421</v>
      </c>
      <c r="J3" s="182">
        <v>190</v>
      </c>
      <c r="K3" s="182">
        <v>307.18</v>
      </c>
      <c r="L3" s="162">
        <f>AVERAGE(G3:K3)</f>
        <v>276.43600000000004</v>
      </c>
      <c r="M3" s="162">
        <f>MEDIAN(G3:K3)</f>
        <v>286.52</v>
      </c>
      <c r="N3" s="176">
        <f>_xlfn.STDEV.S(G3:K3)</f>
        <v>99.006442618649785</v>
      </c>
      <c r="O3" s="134">
        <f>N3/L3</f>
        <v>0.35815321672520861</v>
      </c>
      <c r="P3" s="164">
        <f>IF(O3&lt;=25%,L3,M3)</f>
        <v>286.52</v>
      </c>
      <c r="Q3" s="164">
        <f>F3*P3</f>
        <v>128933.99999999999</v>
      </c>
    </row>
    <row r="4" spans="1:17" ht="22.5" customHeight="1" x14ac:dyDescent="0.25">
      <c r="A4" s="177">
        <v>2</v>
      </c>
      <c r="B4" s="178" t="s">
        <v>301</v>
      </c>
      <c r="C4" s="178" t="s">
        <v>299</v>
      </c>
      <c r="D4" s="179">
        <v>17302</v>
      </c>
      <c r="E4" s="180" t="s">
        <v>298</v>
      </c>
      <c r="F4" s="181">
        <f>45*3</f>
        <v>135</v>
      </c>
      <c r="G4" s="182">
        <v>297.27999999999997</v>
      </c>
      <c r="H4" s="182">
        <v>339.29</v>
      </c>
      <c r="I4" s="182"/>
      <c r="J4" s="182">
        <v>300</v>
      </c>
      <c r="K4" s="182">
        <v>420.96</v>
      </c>
      <c r="L4" s="162">
        <f>AVERAGE(G4:K4)</f>
        <v>339.38249999999999</v>
      </c>
      <c r="M4" s="162">
        <f>MEDIAN(G4:K4)</f>
        <v>319.64499999999998</v>
      </c>
      <c r="N4" s="176">
        <f>_xlfn.STDEV.S(G4:K4)</f>
        <v>57.672925118002318</v>
      </c>
      <c r="O4" s="134">
        <f>N4/L4</f>
        <v>0.16993488208143412</v>
      </c>
      <c r="P4" s="164">
        <f>IF(O4&lt;=25%,L4,M4)</f>
        <v>339.38249999999999</v>
      </c>
      <c r="Q4" s="164">
        <f>F4*P4</f>
        <v>45816.637499999997</v>
      </c>
    </row>
    <row r="5" spans="1:17" ht="22.5" customHeight="1" x14ac:dyDescent="0.25">
      <c r="A5" s="247" t="s">
        <v>1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05">
        <f>SUM(Q3:Q4)</f>
        <v>174750.63749999998</v>
      </c>
    </row>
    <row r="20" spans="5:5" x14ac:dyDescent="0.25">
      <c r="E20" s="161"/>
    </row>
  </sheetData>
  <mergeCells count="1">
    <mergeCell ref="A5:P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P13"/>
  <sheetViews>
    <sheetView view="pageBreakPreview" topLeftCell="D1" zoomScaleNormal="100" zoomScaleSheetLayoutView="100" zoomScalePageLayoutView="70" workbookViewId="0">
      <selection activeCell="P2" sqref="P2"/>
    </sheetView>
  </sheetViews>
  <sheetFormatPr defaultColWidth="8.85546875" defaultRowHeight="15" x14ac:dyDescent="0.25"/>
  <cols>
    <col min="1" max="1" width="11.7109375" style="37" customWidth="1"/>
    <col min="2" max="2" width="14.42578125" style="37" customWidth="1"/>
    <col min="3" max="3" width="15.42578125" style="37" customWidth="1"/>
    <col min="4" max="4" width="16.28515625" style="37" customWidth="1"/>
    <col min="5" max="5" width="19.7109375" style="37" customWidth="1"/>
    <col min="6" max="6" width="21.140625" style="37" customWidth="1"/>
    <col min="7" max="8" width="17.28515625" style="37" customWidth="1"/>
    <col min="9" max="10" width="20.42578125" style="37" customWidth="1"/>
    <col min="11" max="14" width="20.28515625" style="37" customWidth="1"/>
    <col min="15" max="15" width="21.5703125" style="37" customWidth="1"/>
    <col min="16" max="16" width="19.28515625" style="37" customWidth="1"/>
    <col min="17" max="16384" width="8.85546875" style="37"/>
  </cols>
  <sheetData>
    <row r="1" spans="1:16" ht="27.75" customHeight="1" x14ac:dyDescent="0.25">
      <c r="A1" s="248" t="s">
        <v>104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</row>
    <row r="2" spans="1:16" ht="47.25" customHeight="1" x14ac:dyDescent="0.25">
      <c r="A2" s="251" t="s">
        <v>103</v>
      </c>
      <c r="B2" s="252"/>
      <c r="C2" s="252"/>
      <c r="D2" s="253"/>
      <c r="E2" s="39" t="s">
        <v>163</v>
      </c>
      <c r="F2" s="39" t="s">
        <v>167</v>
      </c>
      <c r="G2" s="39" t="s">
        <v>121</v>
      </c>
      <c r="H2" s="39" t="s">
        <v>146</v>
      </c>
      <c r="I2" s="39" t="s">
        <v>122</v>
      </c>
      <c r="J2" s="39" t="s">
        <v>162</v>
      </c>
      <c r="K2" s="39" t="s">
        <v>87</v>
      </c>
      <c r="L2" s="39" t="s">
        <v>149</v>
      </c>
      <c r="M2" s="39" t="s">
        <v>86</v>
      </c>
      <c r="N2" s="39" t="s">
        <v>150</v>
      </c>
      <c r="O2" s="39" t="s">
        <v>295</v>
      </c>
      <c r="P2" s="39" t="s">
        <v>346</v>
      </c>
    </row>
    <row r="3" spans="1:16" ht="29.25" customHeight="1" x14ac:dyDescent="0.25">
      <c r="A3" s="250" t="s">
        <v>102</v>
      </c>
      <c r="B3" s="250"/>
      <c r="C3" s="250"/>
      <c r="D3" s="250"/>
      <c r="E3" s="38">
        <f>'Secretário Sup. Pleno'!D24</f>
        <v>5123.3329999999996</v>
      </c>
      <c r="F3" s="38">
        <f>'Secretário Sup. Junhior'!D24</f>
        <v>3928.8240000000001</v>
      </c>
      <c r="G3" s="38">
        <f>'Aux. Adm IV'!D23</f>
        <v>3626.5740000000001</v>
      </c>
      <c r="H3" s="38">
        <f>Encarregado!D23</f>
        <v>2358.0729999999999</v>
      </c>
      <c r="I3" s="38">
        <f>'Recepcionista '!D25</f>
        <v>1983.35</v>
      </c>
      <c r="J3" s="38">
        <f>Jardineiro!D25</f>
        <v>1904.0029999999999</v>
      </c>
      <c r="K3" s="38">
        <f>'mesageiro  '!D26</f>
        <v>1722.2260000000001</v>
      </c>
      <c r="L3" s="38">
        <f>'Almoxarife III'!D26</f>
        <v>2189.5189999999998</v>
      </c>
      <c r="M3" s="38">
        <f>'copeiro '!D25</f>
        <v>1586.8679999999999</v>
      </c>
      <c r="N3" s="38">
        <f>motorista!D25</f>
        <v>2119</v>
      </c>
      <c r="O3" s="38">
        <f>carregador!D25</f>
        <v>1586.8679999999999</v>
      </c>
      <c r="P3" s="38">
        <f>'Técn. Art. Graficas'!D25</f>
        <v>2815.2</v>
      </c>
    </row>
    <row r="4" spans="1:16" ht="32.25" customHeight="1" x14ac:dyDescent="0.25">
      <c r="A4" s="250" t="s">
        <v>101</v>
      </c>
      <c r="B4" s="250"/>
      <c r="C4" s="250"/>
      <c r="D4" s="250"/>
      <c r="E4" s="38">
        <f>E3/12</f>
        <v>426.94441666666665</v>
      </c>
      <c r="F4" s="38">
        <f>F3/12</f>
        <v>327.40199999999999</v>
      </c>
      <c r="G4" s="38">
        <f t="shared" ref="G4:I4" si="0">G3/12</f>
        <v>302.21449999999999</v>
      </c>
      <c r="H4" s="38">
        <f>H3/12</f>
        <v>196.50608333333332</v>
      </c>
      <c r="I4" s="38">
        <f t="shared" si="0"/>
        <v>165.27916666666667</v>
      </c>
      <c r="J4" s="38">
        <f>J3/12</f>
        <v>158.66691666666665</v>
      </c>
      <c r="K4" s="38">
        <f>K3/12</f>
        <v>143.51883333333333</v>
      </c>
      <c r="L4" s="38">
        <f t="shared" ref="L4" si="1">L3/12</f>
        <v>182.45991666666666</v>
      </c>
      <c r="M4" s="38">
        <f t="shared" ref="M4" si="2">M3/12</f>
        <v>132.239</v>
      </c>
      <c r="N4" s="38">
        <f t="shared" ref="N4" si="3">N3/12</f>
        <v>176.58333333333334</v>
      </c>
      <c r="O4" s="38">
        <f t="shared" ref="O4:P4" si="4">O3/12</f>
        <v>132.239</v>
      </c>
      <c r="P4" s="38">
        <f t="shared" si="4"/>
        <v>234.6</v>
      </c>
    </row>
    <row r="5" spans="1:16" ht="30" customHeight="1" x14ac:dyDescent="0.25">
      <c r="A5" s="250" t="s">
        <v>2</v>
      </c>
      <c r="B5" s="250"/>
      <c r="C5" s="250"/>
      <c r="D5" s="250"/>
      <c r="E5" s="38">
        <f>E3/12</f>
        <v>426.94441666666665</v>
      </c>
      <c r="F5" s="38">
        <f>F3/12</f>
        <v>327.40199999999999</v>
      </c>
      <c r="G5" s="38">
        <f t="shared" ref="G5:I5" si="5">G3/12</f>
        <v>302.21449999999999</v>
      </c>
      <c r="H5" s="38">
        <f>H3/12</f>
        <v>196.50608333333332</v>
      </c>
      <c r="I5" s="38">
        <f t="shared" si="5"/>
        <v>165.27916666666667</v>
      </c>
      <c r="J5" s="38">
        <f>J3/12</f>
        <v>158.66691666666665</v>
      </c>
      <c r="K5" s="38">
        <f>K3/12</f>
        <v>143.51883333333333</v>
      </c>
      <c r="L5" s="38">
        <f t="shared" ref="L5" si="6">L3/12</f>
        <v>182.45991666666666</v>
      </c>
      <c r="M5" s="38">
        <f t="shared" ref="M5:N5" si="7">M3/12</f>
        <v>132.239</v>
      </c>
      <c r="N5" s="38">
        <f t="shared" si="7"/>
        <v>176.58333333333334</v>
      </c>
      <c r="O5" s="38">
        <f t="shared" ref="O5:P5" si="8">O3/12</f>
        <v>132.239</v>
      </c>
      <c r="P5" s="38">
        <f t="shared" si="8"/>
        <v>234.6</v>
      </c>
    </row>
    <row r="6" spans="1:16" ht="27" customHeight="1" x14ac:dyDescent="0.25">
      <c r="A6" s="250" t="s">
        <v>100</v>
      </c>
      <c r="B6" s="250"/>
      <c r="C6" s="250"/>
      <c r="D6" s="250"/>
      <c r="E6" s="38">
        <f>E5/3</f>
        <v>142.31480555555555</v>
      </c>
      <c r="F6" s="38">
        <f>F5/3</f>
        <v>109.134</v>
      </c>
      <c r="G6" s="38">
        <f t="shared" ref="G6:I6" si="9">G5/3</f>
        <v>100.73816666666666</v>
      </c>
      <c r="H6" s="38">
        <f>H5/3</f>
        <v>65.502027777777769</v>
      </c>
      <c r="I6" s="38">
        <f t="shared" si="9"/>
        <v>55.093055555555559</v>
      </c>
      <c r="J6" s="38">
        <f>J5/3</f>
        <v>52.888972222222215</v>
      </c>
      <c r="K6" s="38">
        <f>K5/3</f>
        <v>47.839611111111111</v>
      </c>
      <c r="L6" s="38">
        <f t="shared" ref="L6" si="10">L5/3</f>
        <v>60.819972222222219</v>
      </c>
      <c r="M6" s="38">
        <f>M5/3</f>
        <v>44.079666666666668</v>
      </c>
      <c r="N6" s="38">
        <f t="shared" ref="N6" si="11">N5/3</f>
        <v>58.861111111111114</v>
      </c>
      <c r="O6" s="38">
        <f t="shared" ref="O6:P6" si="12">O5/3</f>
        <v>44.079666666666668</v>
      </c>
      <c r="P6" s="38">
        <f t="shared" si="12"/>
        <v>78.2</v>
      </c>
    </row>
    <row r="7" spans="1:16" s="148" customFormat="1" ht="38.450000000000003" customHeight="1" x14ac:dyDescent="0.25">
      <c r="A7" s="254" t="s">
        <v>99</v>
      </c>
      <c r="B7" s="254"/>
      <c r="C7" s="254"/>
      <c r="D7" s="254"/>
      <c r="E7" s="150">
        <f>'Secretário Sup. Pleno'!D50</f>
        <v>2251.989483111111</v>
      </c>
      <c r="F7" s="150">
        <f>'Secretário Sup. Junhior'!D50</f>
        <v>1726.936416</v>
      </c>
      <c r="G7" s="150">
        <f>'Aux. Adm IV'!D50</f>
        <v>1594.0807493333334</v>
      </c>
      <c r="H7" s="150">
        <f>Encarregado!D50</f>
        <v>1036.5040875555555</v>
      </c>
      <c r="I7" s="150">
        <f>'Recepcionista '!D52</f>
        <v>871.79251111111114</v>
      </c>
      <c r="J7" s="150">
        <f>Jardineiro!D52</f>
        <v>836.91509644444454</v>
      </c>
      <c r="K7" s="150">
        <f>'mesageiro  '!D53</f>
        <v>757.01400622222229</v>
      </c>
      <c r="L7" s="150">
        <f>'Almoxarife III'!D53</f>
        <v>962.41524044444441</v>
      </c>
      <c r="M7" s="150">
        <f>'copeiro '!D52</f>
        <v>697.51664533333337</v>
      </c>
      <c r="N7" s="150">
        <f>motorista!D52</f>
        <v>931.41822222222208</v>
      </c>
      <c r="O7" s="150">
        <f>carregador!D52</f>
        <v>697.51664533333337</v>
      </c>
      <c r="P7" s="150">
        <f>'Técn. Art. Graficas'!D52</f>
        <v>1237.4367999999999</v>
      </c>
    </row>
    <row r="8" spans="1:16" ht="21.75" customHeight="1" x14ac:dyDescent="0.25">
      <c r="A8" s="250" t="s">
        <v>88</v>
      </c>
      <c r="B8" s="250"/>
      <c r="C8" s="250"/>
      <c r="D8" s="250"/>
      <c r="E8" s="38">
        <f>'Secretário Sup. Pleno'!D61</f>
        <v>6</v>
      </c>
      <c r="F8" s="38">
        <f>'Secretário Sup. Junhior'!D61</f>
        <v>6</v>
      </c>
      <c r="G8" s="38">
        <f>'Aux. Adm IV'!D61</f>
        <v>6</v>
      </c>
      <c r="H8" s="38">
        <f>Encarregado!D61</f>
        <v>6</v>
      </c>
      <c r="I8" s="38">
        <f>'Recepcionista '!D63</f>
        <v>6</v>
      </c>
      <c r="J8" s="38">
        <f>Jardineiro!D63</f>
        <v>6</v>
      </c>
      <c r="K8" s="38">
        <f>'mesageiro  '!D64</f>
        <v>6</v>
      </c>
      <c r="L8" s="38">
        <f>'Almoxarife III'!D64</f>
        <v>6</v>
      </c>
      <c r="M8" s="38">
        <f>'copeiro '!D63</f>
        <v>6</v>
      </c>
      <c r="N8" s="38">
        <f>motorista!D63</f>
        <v>6</v>
      </c>
      <c r="O8" s="38">
        <f>carregador!D63</f>
        <v>6</v>
      </c>
      <c r="P8" s="38">
        <f>carregador!E63</f>
        <v>0</v>
      </c>
    </row>
    <row r="9" spans="1:16" ht="21.75" customHeight="1" x14ac:dyDescent="0.25">
      <c r="A9" s="255" t="s">
        <v>164</v>
      </c>
      <c r="B9" s="256"/>
      <c r="C9" s="256"/>
      <c r="D9" s="257"/>
      <c r="E9" s="38">
        <f>'Secretário Sup. Pleno'!D62</f>
        <v>19.899999999999999</v>
      </c>
      <c r="F9" s="38">
        <f>'Secretário Sup. Junhior'!D62</f>
        <v>19.899999999999999</v>
      </c>
      <c r="G9" s="38">
        <f>'Aux. Adm IV'!D62</f>
        <v>19.899999999999999</v>
      </c>
      <c r="H9" s="38">
        <f>Encarregado!D62</f>
        <v>19.899999999999999</v>
      </c>
      <c r="I9" s="38">
        <f>'Recepcionista '!D64</f>
        <v>19.899999999999999</v>
      </c>
      <c r="J9" s="38">
        <f>Jardineiro!D64</f>
        <v>19.899999999999999</v>
      </c>
      <c r="K9" s="38">
        <f>'mesageiro  '!D65</f>
        <v>19.899999999999999</v>
      </c>
      <c r="L9" s="38">
        <f>'Almoxarife III'!D65</f>
        <v>19.899999999999999</v>
      </c>
      <c r="M9" s="38">
        <f>'copeiro '!D64</f>
        <v>19.899999999999999</v>
      </c>
      <c r="N9" s="38">
        <f>motorista!D64</f>
        <v>19.899999999999999</v>
      </c>
      <c r="O9" s="38">
        <f>carregador!D64</f>
        <v>19.899999999999999</v>
      </c>
      <c r="P9" s="38">
        <f>carregador!E64</f>
        <v>0</v>
      </c>
    </row>
    <row r="10" spans="1:16" ht="20.25" customHeight="1" x14ac:dyDescent="0.25">
      <c r="A10" s="250" t="s">
        <v>98</v>
      </c>
      <c r="B10" s="250"/>
      <c r="C10" s="250"/>
      <c r="D10" s="250"/>
      <c r="E10" s="38">
        <f>'Secretário Sup. Pleno'!D84</f>
        <v>364.14191764159995</v>
      </c>
      <c r="F10" s="38">
        <f>'Secretário Sup. Junhior'!D84</f>
        <v>279.24195156480005</v>
      </c>
      <c r="G10" s="38">
        <f>'Aux. Adm IV'!D84</f>
        <v>257.75947236479999</v>
      </c>
      <c r="H10" s="38">
        <f>Encarregado!D84</f>
        <v>167.60051008960002</v>
      </c>
      <c r="I10" s="38">
        <f>'Recepcionista '!D86</f>
        <v>140.96699791999998</v>
      </c>
      <c r="J10" s="38">
        <f>Jardineiro!D86</f>
        <v>135.3273940256</v>
      </c>
      <c r="K10" s="38">
        <f>'mesageiro  '!D87</f>
        <v>122.40755739520003</v>
      </c>
      <c r="L10" s="38">
        <f>'Almoxarife III'!D87</f>
        <v>155.6205008288</v>
      </c>
      <c r="M10" s="38">
        <f>'copeiro '!D86</f>
        <v>112.7869604736</v>
      </c>
      <c r="N10" s="38">
        <f>motorista!D86</f>
        <v>150.60834880000002</v>
      </c>
      <c r="O10" s="38">
        <f>carregador!D86</f>
        <v>112.7869604736</v>
      </c>
      <c r="P10" s="38">
        <f>'Técn. Art. Graficas'!D86</f>
        <v>200.09090304</v>
      </c>
    </row>
    <row r="11" spans="1:16" ht="25.5" customHeight="1" x14ac:dyDescent="0.25">
      <c r="A11" s="250" t="s">
        <v>69</v>
      </c>
      <c r="B11" s="250"/>
      <c r="C11" s="250"/>
      <c r="D11" s="250"/>
      <c r="E11" s="38">
        <f>'Secretário Sup. Pleno'!D120</f>
        <v>33.334256666666661</v>
      </c>
      <c r="F11" s="38">
        <f>'Secretário Sup. Junhior'!D120</f>
        <v>33.334256666666661</v>
      </c>
      <c r="G11" s="38">
        <f>'Aux. Adm IV'!D120</f>
        <v>33.334256666666661</v>
      </c>
      <c r="H11" s="38">
        <f>Encarregado!D120</f>
        <v>24.530216666666664</v>
      </c>
      <c r="I11" s="38">
        <f>'Recepcionista '!D122</f>
        <v>33.334256666666661</v>
      </c>
      <c r="J11" s="38">
        <f>Jardineiro!D122</f>
        <v>87.34666666666665</v>
      </c>
      <c r="K11" s="38">
        <f>'mesageiro  '!D123</f>
        <v>24.530216666666664</v>
      </c>
      <c r="L11" s="38">
        <f>'Almoxarife III'!D123</f>
        <v>33.334256666666661</v>
      </c>
      <c r="M11" s="38">
        <f>'copeiro '!D122</f>
        <v>29.754294999999999</v>
      </c>
      <c r="N11" s="38">
        <f>motorista!D122</f>
        <v>24.530216666666664</v>
      </c>
      <c r="O11" s="38">
        <f>carregador!D122</f>
        <v>54.001666666666665</v>
      </c>
      <c r="P11" s="38">
        <f>'Técn. Art. Graficas'!D122</f>
        <v>0</v>
      </c>
    </row>
    <row r="12" spans="1:16" s="148" customFormat="1" ht="25.5" customHeight="1" x14ac:dyDescent="0.25">
      <c r="A12" s="249" t="s">
        <v>165</v>
      </c>
      <c r="B12" s="249"/>
      <c r="C12" s="249"/>
      <c r="D12" s="249"/>
      <c r="E12" s="147">
        <f>SUM(E3:E11)</f>
        <v>8794.9022963082662</v>
      </c>
      <c r="F12" s="147">
        <f>SUM(F3:F11)</f>
        <v>6758.1746242314657</v>
      </c>
      <c r="G12" s="147">
        <f>SUM(G3:G11)</f>
        <v>6242.8156450314664</v>
      </c>
      <c r="H12" s="147">
        <f>SUM(H3:H11)</f>
        <v>4071.122008756266</v>
      </c>
      <c r="I12" s="147">
        <f t="shared" ref="I12:L12" si="13">SUM(I3:I11)</f>
        <v>3440.9951545866666</v>
      </c>
      <c r="J12" s="147">
        <f>SUM(J3:J11)</f>
        <v>3359.7149626922669</v>
      </c>
      <c r="K12" s="147">
        <f t="shared" si="13"/>
        <v>2986.9550580618666</v>
      </c>
      <c r="L12" s="147">
        <f t="shared" si="13"/>
        <v>3792.528803495466</v>
      </c>
      <c r="M12" s="147">
        <f>SUM(M3:M11)</f>
        <v>2761.3835674736006</v>
      </c>
      <c r="N12" s="147">
        <f t="shared" ref="N12" si="14">SUM(N3:N11)</f>
        <v>3663.4845654666669</v>
      </c>
      <c r="O12" s="147">
        <f t="shared" ref="O12:P12" si="15">SUM(O3:O11)</f>
        <v>2785.6309391402669</v>
      </c>
      <c r="P12" s="147">
        <f t="shared" si="15"/>
        <v>4800.1277030399997</v>
      </c>
    </row>
    <row r="13" spans="1:16" s="148" customFormat="1" ht="23.25" customHeight="1" x14ac:dyDescent="0.25">
      <c r="A13" s="249" t="s">
        <v>166</v>
      </c>
      <c r="B13" s="249"/>
      <c r="C13" s="249"/>
      <c r="D13" s="249"/>
      <c r="E13" s="149">
        <f>E12/12</f>
        <v>732.90852469235551</v>
      </c>
      <c r="F13" s="149">
        <f t="shared" ref="F13:I13" si="16">F12/12</f>
        <v>563.18121868595551</v>
      </c>
      <c r="G13" s="149">
        <f>G12/12</f>
        <v>520.23463708595557</v>
      </c>
      <c r="H13" s="149">
        <f>H12/12</f>
        <v>339.26016739635548</v>
      </c>
      <c r="I13" s="149">
        <f t="shared" si="16"/>
        <v>286.74959621555553</v>
      </c>
      <c r="J13" s="149">
        <f t="shared" ref="J13:K13" si="17">J12/12</f>
        <v>279.97624689102224</v>
      </c>
      <c r="K13" s="149">
        <f t="shared" si="17"/>
        <v>248.91292150515554</v>
      </c>
      <c r="L13" s="149">
        <f>L12/12</f>
        <v>316.04406695795552</v>
      </c>
      <c r="M13" s="149">
        <f>M12/12</f>
        <v>230.11529728946672</v>
      </c>
      <c r="N13" s="149">
        <f t="shared" ref="N13" si="18">N12/12</f>
        <v>305.29038045555558</v>
      </c>
      <c r="O13" s="149">
        <f t="shared" ref="O13:P13" si="19">O12/12</f>
        <v>232.13591159502224</v>
      </c>
      <c r="P13" s="149">
        <f t="shared" si="19"/>
        <v>400.01064191999996</v>
      </c>
    </row>
  </sheetData>
  <mergeCells count="13">
    <mergeCell ref="A1:O1"/>
    <mergeCell ref="A13:D13"/>
    <mergeCell ref="A6:D6"/>
    <mergeCell ref="A2:D2"/>
    <mergeCell ref="A3:D3"/>
    <mergeCell ref="A4:D4"/>
    <mergeCell ref="A5:D5"/>
    <mergeCell ref="A7:D7"/>
    <mergeCell ref="A8:D8"/>
    <mergeCell ref="A10:D10"/>
    <mergeCell ref="A11:D11"/>
    <mergeCell ref="A12:D12"/>
    <mergeCell ref="A9:D9"/>
  </mergeCells>
  <pageMargins left="0.511811024" right="0.511811024" top="0.78740157499999996" bottom="0.78740157499999996" header="0.31496062000000002" footer="0.31496062000000002"/>
  <pageSetup paperSize="9" scale="46" fitToWidth="0" fitToHeight="0" orientation="landscape" r:id="rId1"/>
  <colBreaks count="1" manualBreakCount="1">
    <brk id="16" max="12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995891-6E97-4AFC-8F45-16DF4C1C674F}">
  <dimension ref="A1:M30"/>
  <sheetViews>
    <sheetView view="pageBreakPreview" topLeftCell="A10" zoomScale="90" zoomScaleNormal="100" zoomScaleSheetLayoutView="90" zoomScalePageLayoutView="70" workbookViewId="0">
      <selection activeCell="H2" sqref="H2"/>
    </sheetView>
  </sheetViews>
  <sheetFormatPr defaultRowHeight="15" x14ac:dyDescent="0.25"/>
  <cols>
    <col min="2" max="2" width="50.28515625" customWidth="1"/>
    <col min="3" max="3" width="22.85546875" customWidth="1"/>
    <col min="4" max="4" width="13" bestFit="1" customWidth="1"/>
    <col min="5" max="5" width="16.5703125" bestFit="1" customWidth="1"/>
    <col min="6" max="7" width="31" customWidth="1"/>
    <col min="8" max="12" width="16.85546875" customWidth="1"/>
    <col min="13" max="13" width="14.7109375" customWidth="1"/>
  </cols>
  <sheetData>
    <row r="1" spans="1:13" ht="40.5" customHeight="1" x14ac:dyDescent="0.25">
      <c r="A1" s="258" t="s">
        <v>181</v>
      </c>
      <c r="B1" s="259"/>
      <c r="C1" s="259"/>
      <c r="D1" s="259"/>
      <c r="E1" s="259"/>
      <c r="F1" s="259"/>
      <c r="G1" s="259"/>
      <c r="H1" s="259"/>
      <c r="I1" s="259"/>
      <c r="J1" s="259"/>
      <c r="K1" s="259"/>
      <c r="L1" s="259"/>
      <c r="M1" s="260"/>
    </row>
    <row r="2" spans="1:13" ht="110.25" x14ac:dyDescent="0.25">
      <c r="A2" s="97" t="s">
        <v>180</v>
      </c>
      <c r="B2" s="97" t="s">
        <v>182</v>
      </c>
      <c r="C2" s="97" t="s">
        <v>183</v>
      </c>
      <c r="D2" s="80" t="s">
        <v>171</v>
      </c>
      <c r="E2" s="97" t="s">
        <v>184</v>
      </c>
      <c r="F2" s="97" t="s">
        <v>275</v>
      </c>
      <c r="G2" s="97" t="s">
        <v>278</v>
      </c>
      <c r="H2" s="97" t="s">
        <v>222</v>
      </c>
      <c r="I2" s="97" t="s">
        <v>223</v>
      </c>
      <c r="J2" s="97" t="s">
        <v>224</v>
      </c>
      <c r="K2" s="97" t="s">
        <v>225</v>
      </c>
      <c r="L2" s="97" t="s">
        <v>277</v>
      </c>
      <c r="M2" s="97" t="s">
        <v>213</v>
      </c>
    </row>
    <row r="3" spans="1:13" ht="15.75" x14ac:dyDescent="0.25">
      <c r="A3" s="27">
        <v>1</v>
      </c>
      <c r="B3" s="27" t="s">
        <v>185</v>
      </c>
      <c r="C3" s="26" t="s">
        <v>186</v>
      </c>
      <c r="D3" s="26">
        <v>1</v>
      </c>
      <c r="E3" s="26">
        <v>1</v>
      </c>
      <c r="F3" s="206">
        <v>26.99</v>
      </c>
      <c r="G3" s="133">
        <v>35.979999999999997</v>
      </c>
      <c r="H3" s="90">
        <f>AVERAGE(F3:G3)</f>
        <v>31.484999999999999</v>
      </c>
      <c r="I3" s="90">
        <f>MEDIAN(F3:G3)</f>
        <v>31.484999999999999</v>
      </c>
      <c r="J3" s="90">
        <f>_xlfn.STDEV.S(F3:G3)</f>
        <v>6.356889962867041</v>
      </c>
      <c r="K3" s="134">
        <f>J3/H3</f>
        <v>0.20190217445980757</v>
      </c>
      <c r="L3" s="135">
        <f>IF(K3&lt;=25%,H3,I3)</f>
        <v>31.484999999999999</v>
      </c>
      <c r="M3" s="90">
        <f>D3*L3/E3</f>
        <v>31.484999999999999</v>
      </c>
    </row>
    <row r="4" spans="1:13" ht="15.75" x14ac:dyDescent="0.25">
      <c r="A4" s="27">
        <v>2</v>
      </c>
      <c r="B4" s="27" t="s">
        <v>187</v>
      </c>
      <c r="C4" s="26" t="s">
        <v>186</v>
      </c>
      <c r="D4" s="26">
        <v>1</v>
      </c>
      <c r="E4" s="26">
        <v>1</v>
      </c>
      <c r="F4" s="206">
        <v>21.25</v>
      </c>
      <c r="G4" s="133">
        <v>55.24</v>
      </c>
      <c r="H4" s="90">
        <f t="shared" ref="H4:H28" si="0">AVERAGE(F4:G4)</f>
        <v>38.245000000000005</v>
      </c>
      <c r="I4" s="90">
        <f t="shared" ref="I4:I28" si="1">MEDIAN(F4:G4)</f>
        <v>38.245000000000005</v>
      </c>
      <c r="J4" s="90">
        <f t="shared" ref="J4:J28" si="2">_xlfn.STDEV.S(F4:G4)</f>
        <v>24.03455949253074</v>
      </c>
      <c r="K4" s="134">
        <f t="shared" ref="K4:K28" si="3">J4/H4</f>
        <v>0.62843664511781239</v>
      </c>
      <c r="L4" s="135">
        <f t="shared" ref="L4:L28" si="4">IF(K4&lt;=25%,H4,I4)</f>
        <v>38.245000000000005</v>
      </c>
      <c r="M4" s="90">
        <f t="shared" ref="M4:M28" si="5">D4*L4/E4</f>
        <v>38.245000000000005</v>
      </c>
    </row>
    <row r="5" spans="1:13" ht="15.75" x14ac:dyDescent="0.25">
      <c r="A5" s="27">
        <v>3</v>
      </c>
      <c r="B5" s="27" t="s">
        <v>188</v>
      </c>
      <c r="C5" s="26" t="s">
        <v>186</v>
      </c>
      <c r="D5" s="26">
        <v>2</v>
      </c>
      <c r="E5" s="26">
        <v>1</v>
      </c>
      <c r="F5" s="206">
        <v>17.260000000000002</v>
      </c>
      <c r="G5" s="133">
        <v>200</v>
      </c>
      <c r="H5" s="90">
        <f t="shared" si="0"/>
        <v>108.63</v>
      </c>
      <c r="I5" s="90">
        <f t="shared" si="1"/>
        <v>108.63000000000001</v>
      </c>
      <c r="J5" s="90">
        <f t="shared" si="2"/>
        <v>129.21669319402969</v>
      </c>
      <c r="K5" s="134">
        <f t="shared" si="3"/>
        <v>1.189512042658839</v>
      </c>
      <c r="L5" s="135">
        <f t="shared" si="4"/>
        <v>108.63000000000001</v>
      </c>
      <c r="M5" s="90">
        <f t="shared" si="5"/>
        <v>217.26000000000002</v>
      </c>
    </row>
    <row r="6" spans="1:13" ht="15.75" x14ac:dyDescent="0.25">
      <c r="A6" s="27">
        <v>4</v>
      </c>
      <c r="B6" s="27" t="s">
        <v>189</v>
      </c>
      <c r="C6" s="26" t="s">
        <v>186</v>
      </c>
      <c r="D6" s="26">
        <v>2</v>
      </c>
      <c r="E6" s="26">
        <v>1</v>
      </c>
      <c r="F6" s="206">
        <v>104.74</v>
      </c>
      <c r="G6" s="133">
        <v>140</v>
      </c>
      <c r="H6" s="90">
        <f t="shared" si="0"/>
        <v>122.37</v>
      </c>
      <c r="I6" s="90">
        <f t="shared" si="1"/>
        <v>122.37</v>
      </c>
      <c r="J6" s="90">
        <f t="shared" si="2"/>
        <v>24.932585104637511</v>
      </c>
      <c r="K6" s="134">
        <f t="shared" si="3"/>
        <v>0.20374752884397737</v>
      </c>
      <c r="L6" s="135">
        <f t="shared" si="4"/>
        <v>122.37</v>
      </c>
      <c r="M6" s="90">
        <f t="shared" si="5"/>
        <v>244.74</v>
      </c>
    </row>
    <row r="7" spans="1:13" ht="15.75" x14ac:dyDescent="0.25">
      <c r="A7" s="27">
        <v>5</v>
      </c>
      <c r="B7" s="27" t="s">
        <v>190</v>
      </c>
      <c r="C7" s="26" t="s">
        <v>186</v>
      </c>
      <c r="D7" s="26">
        <v>2</v>
      </c>
      <c r="E7" s="26">
        <v>1</v>
      </c>
      <c r="F7" s="206">
        <v>21.15</v>
      </c>
      <c r="G7" s="133">
        <v>40.5</v>
      </c>
      <c r="H7" s="90">
        <f t="shared" si="0"/>
        <v>30.824999999999999</v>
      </c>
      <c r="I7" s="90">
        <f t="shared" si="1"/>
        <v>30.824999999999999</v>
      </c>
      <c r="J7" s="90">
        <f t="shared" si="2"/>
        <v>13.682516215959689</v>
      </c>
      <c r="K7" s="134">
        <f t="shared" si="3"/>
        <v>0.44387724950396396</v>
      </c>
      <c r="L7" s="135">
        <f t="shared" si="4"/>
        <v>30.824999999999999</v>
      </c>
      <c r="M7" s="90">
        <f t="shared" si="5"/>
        <v>61.65</v>
      </c>
    </row>
    <row r="8" spans="1:13" ht="15.75" x14ac:dyDescent="0.25">
      <c r="A8" s="27">
        <v>6</v>
      </c>
      <c r="B8" s="27" t="s">
        <v>191</v>
      </c>
      <c r="C8" s="26" t="s">
        <v>186</v>
      </c>
      <c r="D8" s="26">
        <v>2</v>
      </c>
      <c r="E8" s="26">
        <v>1</v>
      </c>
      <c r="F8" s="206">
        <v>17.940000000000001</v>
      </c>
      <c r="G8" s="133">
        <v>30.25</v>
      </c>
      <c r="H8" s="90">
        <f t="shared" si="0"/>
        <v>24.094999999999999</v>
      </c>
      <c r="I8" s="90">
        <f t="shared" si="1"/>
        <v>24.094999999999999</v>
      </c>
      <c r="J8" s="90">
        <f t="shared" si="2"/>
        <v>8.7044844764064209</v>
      </c>
      <c r="K8" s="134">
        <f t="shared" si="3"/>
        <v>0.36125687804135387</v>
      </c>
      <c r="L8" s="135">
        <f t="shared" si="4"/>
        <v>24.094999999999999</v>
      </c>
      <c r="M8" s="90">
        <f t="shared" si="5"/>
        <v>48.19</v>
      </c>
    </row>
    <row r="9" spans="1:13" ht="15.75" x14ac:dyDescent="0.25">
      <c r="A9" s="27">
        <v>7</v>
      </c>
      <c r="B9" s="27" t="s">
        <v>192</v>
      </c>
      <c r="C9" s="26" t="s">
        <v>186</v>
      </c>
      <c r="D9" s="26">
        <v>2</v>
      </c>
      <c r="E9" s="26">
        <v>1</v>
      </c>
      <c r="F9" s="206">
        <v>14.7</v>
      </c>
      <c r="G9" s="133">
        <v>150</v>
      </c>
      <c r="H9" s="90">
        <f t="shared" si="0"/>
        <v>82.35</v>
      </c>
      <c r="I9" s="90">
        <f t="shared" si="1"/>
        <v>82.350000000000009</v>
      </c>
      <c r="J9" s="90">
        <f t="shared" si="2"/>
        <v>95.671547494539894</v>
      </c>
      <c r="K9" s="134">
        <f t="shared" si="3"/>
        <v>1.1617674255560402</v>
      </c>
      <c r="L9" s="135">
        <f t="shared" si="4"/>
        <v>82.350000000000009</v>
      </c>
      <c r="M9" s="90">
        <f t="shared" si="5"/>
        <v>164.70000000000002</v>
      </c>
    </row>
    <row r="10" spans="1:13" ht="15.75" x14ac:dyDescent="0.25">
      <c r="A10" s="27">
        <v>8</v>
      </c>
      <c r="B10" s="27" t="s">
        <v>193</v>
      </c>
      <c r="C10" s="26" t="s">
        <v>186</v>
      </c>
      <c r="D10" s="26">
        <v>2</v>
      </c>
      <c r="E10" s="26">
        <v>1</v>
      </c>
      <c r="F10" s="206">
        <v>3.1</v>
      </c>
      <c r="G10" s="133">
        <v>15.5</v>
      </c>
      <c r="H10" s="90">
        <f t="shared" si="0"/>
        <v>9.3000000000000007</v>
      </c>
      <c r="I10" s="90">
        <f t="shared" si="1"/>
        <v>9.3000000000000007</v>
      </c>
      <c r="J10" s="90">
        <f t="shared" si="2"/>
        <v>8.7681240867131898</v>
      </c>
      <c r="K10" s="134">
        <f t="shared" si="3"/>
        <v>0.94280904158206336</v>
      </c>
      <c r="L10" s="135">
        <f t="shared" si="4"/>
        <v>9.3000000000000007</v>
      </c>
      <c r="M10" s="90">
        <f t="shared" si="5"/>
        <v>18.600000000000001</v>
      </c>
    </row>
    <row r="11" spans="1:13" ht="15.75" x14ac:dyDescent="0.25">
      <c r="A11" s="27">
        <v>9</v>
      </c>
      <c r="B11" s="27" t="s">
        <v>194</v>
      </c>
      <c r="C11" s="26" t="s">
        <v>186</v>
      </c>
      <c r="D11" s="26">
        <v>1</v>
      </c>
      <c r="E11" s="26">
        <v>1</v>
      </c>
      <c r="F11" s="206">
        <v>219.03</v>
      </c>
      <c r="G11" s="133">
        <v>250.96</v>
      </c>
      <c r="H11" s="90">
        <f t="shared" si="0"/>
        <v>234.995</v>
      </c>
      <c r="I11" s="90">
        <f t="shared" si="1"/>
        <v>234.995</v>
      </c>
      <c r="J11" s="90">
        <f t="shared" si="2"/>
        <v>22.577919523286468</v>
      </c>
      <c r="K11" s="134">
        <f t="shared" si="3"/>
        <v>9.6078297509676669E-2</v>
      </c>
      <c r="L11" s="135">
        <f t="shared" si="4"/>
        <v>234.995</v>
      </c>
      <c r="M11" s="90">
        <f t="shared" si="5"/>
        <v>234.995</v>
      </c>
    </row>
    <row r="12" spans="1:13" ht="15.75" x14ac:dyDescent="0.25">
      <c r="A12" s="27">
        <v>24</v>
      </c>
      <c r="B12" s="27" t="s">
        <v>195</v>
      </c>
      <c r="C12" s="26" t="s">
        <v>186</v>
      </c>
      <c r="D12" s="26">
        <v>1</v>
      </c>
      <c r="E12" s="26">
        <v>5</v>
      </c>
      <c r="F12" s="206">
        <v>25.09</v>
      </c>
      <c r="G12" s="133">
        <v>50</v>
      </c>
      <c r="H12" s="90">
        <f t="shared" si="0"/>
        <v>37.545000000000002</v>
      </c>
      <c r="I12" s="90">
        <f t="shared" si="1"/>
        <v>37.545000000000002</v>
      </c>
      <c r="J12" s="90">
        <f t="shared" si="2"/>
        <v>17.614029919356884</v>
      </c>
      <c r="K12" s="134">
        <f t="shared" si="3"/>
        <v>0.46914449112683138</v>
      </c>
      <c r="L12" s="135">
        <f t="shared" si="4"/>
        <v>37.545000000000002</v>
      </c>
      <c r="M12" s="90">
        <f t="shared" si="5"/>
        <v>7.5090000000000003</v>
      </c>
    </row>
    <row r="13" spans="1:13" ht="15.75" x14ac:dyDescent="0.25">
      <c r="A13" s="27">
        <v>25</v>
      </c>
      <c r="B13" s="27" t="s">
        <v>196</v>
      </c>
      <c r="C13" s="26" t="s">
        <v>186</v>
      </c>
      <c r="D13" s="26">
        <v>1</v>
      </c>
      <c r="E13" s="26">
        <v>5</v>
      </c>
      <c r="F13" s="206">
        <v>28.9</v>
      </c>
      <c r="G13" s="133">
        <v>60.35</v>
      </c>
      <c r="H13" s="90">
        <f t="shared" si="0"/>
        <v>44.625</v>
      </c>
      <c r="I13" s="90">
        <f t="shared" si="1"/>
        <v>44.625</v>
      </c>
      <c r="J13" s="90">
        <f t="shared" si="2"/>
        <v>22.23850826831691</v>
      </c>
      <c r="K13" s="134">
        <f t="shared" si="3"/>
        <v>0.49834192197909039</v>
      </c>
      <c r="L13" s="135">
        <f t="shared" si="4"/>
        <v>44.625</v>
      </c>
      <c r="M13" s="90">
        <f t="shared" si="5"/>
        <v>8.9250000000000007</v>
      </c>
    </row>
    <row r="14" spans="1:13" ht="15.75" x14ac:dyDescent="0.25">
      <c r="A14" s="27">
        <v>26</v>
      </c>
      <c r="B14" s="27" t="s">
        <v>197</v>
      </c>
      <c r="C14" s="26" t="s">
        <v>186</v>
      </c>
      <c r="D14" s="26">
        <v>1</v>
      </c>
      <c r="E14" s="26">
        <v>5</v>
      </c>
      <c r="F14" s="206">
        <v>24.9</v>
      </c>
      <c r="G14" s="133">
        <v>80.5</v>
      </c>
      <c r="H14" s="90">
        <f t="shared" si="0"/>
        <v>52.7</v>
      </c>
      <c r="I14" s="90">
        <f t="shared" si="1"/>
        <v>52.7</v>
      </c>
      <c r="J14" s="90">
        <f t="shared" si="2"/>
        <v>39.315137033972036</v>
      </c>
      <c r="K14" s="134">
        <f t="shared" si="3"/>
        <v>0.74601778053077861</v>
      </c>
      <c r="L14" s="135">
        <f t="shared" si="4"/>
        <v>52.7</v>
      </c>
      <c r="M14" s="90">
        <f t="shared" si="5"/>
        <v>10.540000000000001</v>
      </c>
    </row>
    <row r="15" spans="1:13" ht="15.75" x14ac:dyDescent="0.25">
      <c r="A15" s="27">
        <v>27</v>
      </c>
      <c r="B15" s="27" t="s">
        <v>198</v>
      </c>
      <c r="C15" s="26" t="s">
        <v>186</v>
      </c>
      <c r="D15" s="26">
        <v>1</v>
      </c>
      <c r="E15" s="26">
        <v>5</v>
      </c>
      <c r="F15" s="206">
        <v>34.9</v>
      </c>
      <c r="G15" s="133">
        <v>112.5</v>
      </c>
      <c r="H15" s="90">
        <f t="shared" si="0"/>
        <v>73.7</v>
      </c>
      <c r="I15" s="90">
        <f t="shared" si="1"/>
        <v>73.699999999999989</v>
      </c>
      <c r="J15" s="90">
        <f t="shared" si="2"/>
        <v>54.871486220076079</v>
      </c>
      <c r="K15" s="134">
        <f t="shared" si="3"/>
        <v>0.74452491479072014</v>
      </c>
      <c r="L15" s="135">
        <f t="shared" si="4"/>
        <v>73.699999999999989</v>
      </c>
      <c r="M15" s="90">
        <f t="shared" si="5"/>
        <v>14.739999999999998</v>
      </c>
    </row>
    <row r="16" spans="1:13" ht="15.75" x14ac:dyDescent="0.25">
      <c r="A16" s="27">
        <v>28</v>
      </c>
      <c r="B16" s="27" t="s">
        <v>199</v>
      </c>
      <c r="C16" s="26" t="s">
        <v>186</v>
      </c>
      <c r="D16" s="26">
        <v>1</v>
      </c>
      <c r="E16" s="26">
        <v>5</v>
      </c>
      <c r="F16" s="206">
        <v>45.99</v>
      </c>
      <c r="G16" s="133">
        <v>80</v>
      </c>
      <c r="H16" s="90">
        <f t="shared" si="0"/>
        <v>62.995000000000005</v>
      </c>
      <c r="I16" s="90">
        <f t="shared" si="1"/>
        <v>62.995000000000005</v>
      </c>
      <c r="J16" s="90">
        <f t="shared" si="2"/>
        <v>24.04870162815444</v>
      </c>
      <c r="K16" s="134">
        <f t="shared" si="3"/>
        <v>0.38175572074219283</v>
      </c>
      <c r="L16" s="135">
        <f t="shared" si="4"/>
        <v>62.995000000000005</v>
      </c>
      <c r="M16" s="90">
        <f t="shared" si="5"/>
        <v>12.599</v>
      </c>
    </row>
    <row r="17" spans="1:13" ht="15.75" x14ac:dyDescent="0.25">
      <c r="A17" s="27">
        <v>29</v>
      </c>
      <c r="B17" s="27" t="s">
        <v>200</v>
      </c>
      <c r="C17" s="26" t="s">
        <v>186</v>
      </c>
      <c r="D17" s="26">
        <v>1</v>
      </c>
      <c r="E17" s="26">
        <v>5</v>
      </c>
      <c r="F17" s="206">
        <v>19.87</v>
      </c>
      <c r="G17" s="133">
        <v>59</v>
      </c>
      <c r="H17" s="90">
        <f t="shared" si="0"/>
        <v>39.435000000000002</v>
      </c>
      <c r="I17" s="90">
        <f t="shared" si="1"/>
        <v>39.435000000000002</v>
      </c>
      <c r="J17" s="90">
        <f t="shared" si="2"/>
        <v>27.669088347829597</v>
      </c>
      <c r="K17" s="134">
        <f t="shared" si="3"/>
        <v>0.70163784323138312</v>
      </c>
      <c r="L17" s="135">
        <f t="shared" si="4"/>
        <v>39.435000000000002</v>
      </c>
      <c r="M17" s="90">
        <f t="shared" si="5"/>
        <v>7.8870000000000005</v>
      </c>
    </row>
    <row r="18" spans="1:13" ht="15.75" x14ac:dyDescent="0.25">
      <c r="A18" s="27">
        <v>30</v>
      </c>
      <c r="B18" s="27" t="s">
        <v>201</v>
      </c>
      <c r="C18" s="26" t="s">
        <v>186</v>
      </c>
      <c r="D18" s="26">
        <v>1</v>
      </c>
      <c r="E18" s="26">
        <v>5</v>
      </c>
      <c r="F18" s="206">
        <v>29.37</v>
      </c>
      <c r="G18" s="133">
        <v>65.900000000000006</v>
      </c>
      <c r="H18" s="90">
        <f t="shared" si="0"/>
        <v>47.635000000000005</v>
      </c>
      <c r="I18" s="90">
        <f t="shared" si="1"/>
        <v>47.635000000000005</v>
      </c>
      <c r="J18" s="90">
        <f t="shared" si="2"/>
        <v>25.830610716744559</v>
      </c>
      <c r="K18" s="134">
        <f t="shared" si="3"/>
        <v>0.54226116756050291</v>
      </c>
      <c r="L18" s="135">
        <f t="shared" si="4"/>
        <v>47.635000000000005</v>
      </c>
      <c r="M18" s="90">
        <f t="shared" si="5"/>
        <v>9.527000000000001</v>
      </c>
    </row>
    <row r="19" spans="1:13" ht="15.75" x14ac:dyDescent="0.25">
      <c r="A19" s="27">
        <v>31</v>
      </c>
      <c r="B19" s="27" t="s">
        <v>202</v>
      </c>
      <c r="C19" s="26" t="s">
        <v>186</v>
      </c>
      <c r="D19" s="26">
        <v>1</v>
      </c>
      <c r="E19" s="26">
        <v>5</v>
      </c>
      <c r="F19" s="206">
        <v>7.99</v>
      </c>
      <c r="G19" s="133">
        <v>30</v>
      </c>
      <c r="H19" s="90">
        <f t="shared" si="0"/>
        <v>18.995000000000001</v>
      </c>
      <c r="I19" s="90">
        <f t="shared" si="1"/>
        <v>18.994999999999997</v>
      </c>
      <c r="J19" s="90">
        <f t="shared" si="2"/>
        <v>15.563420253915908</v>
      </c>
      <c r="K19" s="134">
        <f t="shared" si="3"/>
        <v>0.8193429983635645</v>
      </c>
      <c r="L19" s="135">
        <f t="shared" si="4"/>
        <v>18.994999999999997</v>
      </c>
      <c r="M19" s="90">
        <f t="shared" si="5"/>
        <v>3.7989999999999995</v>
      </c>
    </row>
    <row r="20" spans="1:13" ht="15.75" x14ac:dyDescent="0.25">
      <c r="A20" s="27">
        <v>32</v>
      </c>
      <c r="B20" s="27" t="s">
        <v>203</v>
      </c>
      <c r="C20" s="26" t="s">
        <v>186</v>
      </c>
      <c r="D20" s="26">
        <v>1</v>
      </c>
      <c r="E20" s="26">
        <v>5</v>
      </c>
      <c r="F20" s="206">
        <v>29.9</v>
      </c>
      <c r="G20" s="133">
        <v>80.099999999999994</v>
      </c>
      <c r="H20" s="90">
        <f t="shared" si="0"/>
        <v>55</v>
      </c>
      <c r="I20" s="90">
        <f t="shared" si="1"/>
        <v>55</v>
      </c>
      <c r="J20" s="90">
        <f t="shared" si="2"/>
        <v>35.49676041556468</v>
      </c>
      <c r="K20" s="134">
        <f t="shared" si="3"/>
        <v>0.64539564391935778</v>
      </c>
      <c r="L20" s="135">
        <f t="shared" si="4"/>
        <v>55</v>
      </c>
      <c r="M20" s="90">
        <f t="shared" si="5"/>
        <v>11</v>
      </c>
    </row>
    <row r="21" spans="1:13" ht="15.75" x14ac:dyDescent="0.25">
      <c r="A21" s="27">
        <v>33</v>
      </c>
      <c r="B21" s="27" t="s">
        <v>204</v>
      </c>
      <c r="C21" s="26" t="s">
        <v>186</v>
      </c>
      <c r="D21" s="26">
        <v>1</v>
      </c>
      <c r="E21" s="26">
        <v>5</v>
      </c>
      <c r="F21" s="206">
        <v>58.86</v>
      </c>
      <c r="G21" s="133">
        <v>135</v>
      </c>
      <c r="H21" s="90">
        <f t="shared" si="0"/>
        <v>96.93</v>
      </c>
      <c r="I21" s="90">
        <f t="shared" si="1"/>
        <v>96.93</v>
      </c>
      <c r="J21" s="90">
        <f t="shared" si="2"/>
        <v>53.839110319543686</v>
      </c>
      <c r="K21" s="134">
        <f t="shared" si="3"/>
        <v>0.55544320973427919</v>
      </c>
      <c r="L21" s="135">
        <f t="shared" si="4"/>
        <v>96.93</v>
      </c>
      <c r="M21" s="90">
        <f t="shared" si="5"/>
        <v>19.386000000000003</v>
      </c>
    </row>
    <row r="22" spans="1:13" ht="15.75" x14ac:dyDescent="0.25">
      <c r="A22" s="27">
        <v>34</v>
      </c>
      <c r="B22" s="27" t="s">
        <v>205</v>
      </c>
      <c r="C22" s="26" t="s">
        <v>186</v>
      </c>
      <c r="D22" s="26">
        <v>1</v>
      </c>
      <c r="E22" s="26">
        <v>5</v>
      </c>
      <c r="F22" s="206">
        <v>56.58</v>
      </c>
      <c r="G22" s="133">
        <v>115</v>
      </c>
      <c r="H22" s="90">
        <f t="shared" si="0"/>
        <v>85.789999999999992</v>
      </c>
      <c r="I22" s="90">
        <f t="shared" si="1"/>
        <v>85.789999999999992</v>
      </c>
      <c r="J22" s="90">
        <f t="shared" si="2"/>
        <v>41.309178156918136</v>
      </c>
      <c r="K22" s="134">
        <f t="shared" si="3"/>
        <v>0.48151507351577272</v>
      </c>
      <c r="L22" s="135">
        <f t="shared" si="4"/>
        <v>85.789999999999992</v>
      </c>
      <c r="M22" s="90">
        <f t="shared" si="5"/>
        <v>17.157999999999998</v>
      </c>
    </row>
    <row r="23" spans="1:13" ht="15.75" x14ac:dyDescent="0.25">
      <c r="A23" s="27">
        <v>35</v>
      </c>
      <c r="B23" s="27" t="s">
        <v>206</v>
      </c>
      <c r="C23" s="26" t="s">
        <v>186</v>
      </c>
      <c r="D23" s="26">
        <v>1</v>
      </c>
      <c r="E23" s="26">
        <v>5</v>
      </c>
      <c r="F23" s="206">
        <v>141.55000000000001</v>
      </c>
      <c r="G23" s="133">
        <v>650</v>
      </c>
      <c r="H23" s="90">
        <f t="shared" si="0"/>
        <v>395.77499999999998</v>
      </c>
      <c r="I23" s="90">
        <f t="shared" si="1"/>
        <v>395.77499999999998</v>
      </c>
      <c r="J23" s="90">
        <f t="shared" si="2"/>
        <v>359.52844289430016</v>
      </c>
      <c r="K23" s="134">
        <f t="shared" si="3"/>
        <v>0.90841625391775671</v>
      </c>
      <c r="L23" s="135">
        <f t="shared" si="4"/>
        <v>395.77499999999998</v>
      </c>
      <c r="M23" s="90">
        <f t="shared" si="5"/>
        <v>79.155000000000001</v>
      </c>
    </row>
    <row r="24" spans="1:13" ht="15.75" x14ac:dyDescent="0.25">
      <c r="A24" s="27">
        <v>36</v>
      </c>
      <c r="B24" s="27" t="s">
        <v>207</v>
      </c>
      <c r="C24" s="26" t="s">
        <v>186</v>
      </c>
      <c r="D24" s="26">
        <v>1</v>
      </c>
      <c r="E24" s="26">
        <v>5</v>
      </c>
      <c r="F24" s="206">
        <v>559.9</v>
      </c>
      <c r="G24" s="133">
        <v>1121</v>
      </c>
      <c r="H24" s="90">
        <f t="shared" si="0"/>
        <v>840.45</v>
      </c>
      <c r="I24" s="90">
        <f t="shared" si="1"/>
        <v>840.45</v>
      </c>
      <c r="J24" s="90">
        <f t="shared" si="2"/>
        <v>396.75761492377148</v>
      </c>
      <c r="K24" s="134">
        <f t="shared" si="3"/>
        <v>0.47207759524513232</v>
      </c>
      <c r="L24" s="135">
        <f t="shared" si="4"/>
        <v>840.45</v>
      </c>
      <c r="M24" s="90">
        <f t="shared" si="5"/>
        <v>168.09</v>
      </c>
    </row>
    <row r="25" spans="1:13" ht="15.75" x14ac:dyDescent="0.25">
      <c r="A25" s="27">
        <v>37</v>
      </c>
      <c r="B25" s="27" t="s">
        <v>208</v>
      </c>
      <c r="C25" s="26" t="s">
        <v>186</v>
      </c>
      <c r="D25" s="26">
        <v>1</v>
      </c>
      <c r="E25" s="26">
        <v>5</v>
      </c>
      <c r="F25" s="206">
        <v>347.3</v>
      </c>
      <c r="G25" s="133">
        <v>2166</v>
      </c>
      <c r="H25" s="90">
        <f t="shared" si="0"/>
        <v>1256.6500000000001</v>
      </c>
      <c r="I25" s="90">
        <f t="shared" si="1"/>
        <v>1256.6500000000001</v>
      </c>
      <c r="J25" s="90">
        <f t="shared" si="2"/>
        <v>1286.0151029439739</v>
      </c>
      <c r="K25" s="134">
        <f t="shared" si="3"/>
        <v>1.0233677658409055</v>
      </c>
      <c r="L25" s="135">
        <f t="shared" si="4"/>
        <v>1256.6500000000001</v>
      </c>
      <c r="M25" s="90">
        <f t="shared" si="5"/>
        <v>251.33</v>
      </c>
    </row>
    <row r="26" spans="1:13" ht="15.75" x14ac:dyDescent="0.25">
      <c r="A26" s="27">
        <v>39</v>
      </c>
      <c r="B26" s="27" t="s">
        <v>209</v>
      </c>
      <c r="C26" s="26" t="s">
        <v>210</v>
      </c>
      <c r="D26" s="26">
        <v>20</v>
      </c>
      <c r="E26" s="26">
        <v>1</v>
      </c>
      <c r="F26" s="206">
        <v>197.99</v>
      </c>
      <c r="G26" s="133">
        <v>25.1</v>
      </c>
      <c r="H26" s="90">
        <f t="shared" si="0"/>
        <v>111.545</v>
      </c>
      <c r="I26" s="90">
        <f t="shared" si="1"/>
        <v>111.54500000000002</v>
      </c>
      <c r="J26" s="90">
        <f t="shared" si="2"/>
        <v>122.25169139934223</v>
      </c>
      <c r="K26" s="134">
        <f t="shared" si="3"/>
        <v>1.0959853996086084</v>
      </c>
      <c r="L26" s="135">
        <f t="shared" si="4"/>
        <v>111.54500000000002</v>
      </c>
      <c r="M26" s="90">
        <f>D26*L26/E26</f>
        <v>2230.9000000000005</v>
      </c>
    </row>
    <row r="27" spans="1:13" ht="15.75" x14ac:dyDescent="0.25">
      <c r="A27" s="27">
        <v>40</v>
      </c>
      <c r="B27" s="27" t="s">
        <v>211</v>
      </c>
      <c r="C27" s="26" t="s">
        <v>186</v>
      </c>
      <c r="D27" s="26">
        <v>10</v>
      </c>
      <c r="E27" s="26">
        <v>1</v>
      </c>
      <c r="F27" s="206">
        <v>19.899999999999999</v>
      </c>
      <c r="G27" s="133">
        <v>45.3</v>
      </c>
      <c r="H27" s="90">
        <f t="shared" si="0"/>
        <v>32.599999999999994</v>
      </c>
      <c r="I27" s="90">
        <f t="shared" si="1"/>
        <v>32.599999999999994</v>
      </c>
      <c r="J27" s="90">
        <f t="shared" si="2"/>
        <v>17.960512242138318</v>
      </c>
      <c r="K27" s="134">
        <f t="shared" si="3"/>
        <v>0.55093595834780129</v>
      </c>
      <c r="L27" s="135">
        <f t="shared" si="4"/>
        <v>32.599999999999994</v>
      </c>
      <c r="M27" s="90">
        <f t="shared" si="5"/>
        <v>325.99999999999994</v>
      </c>
    </row>
    <row r="28" spans="1:13" ht="15.75" x14ac:dyDescent="0.25">
      <c r="A28" s="27">
        <v>41</v>
      </c>
      <c r="B28" s="27" t="s">
        <v>212</v>
      </c>
      <c r="C28" s="26" t="s">
        <v>186</v>
      </c>
      <c r="D28" s="26">
        <v>1</v>
      </c>
      <c r="E28" s="26">
        <v>1</v>
      </c>
      <c r="F28" s="206">
        <v>49.9</v>
      </c>
      <c r="G28" s="133">
        <v>40</v>
      </c>
      <c r="H28" s="90">
        <f t="shared" si="0"/>
        <v>44.95</v>
      </c>
      <c r="I28" s="90">
        <f t="shared" si="1"/>
        <v>44.95</v>
      </c>
      <c r="J28" s="90">
        <f t="shared" si="2"/>
        <v>7.0003571337467632</v>
      </c>
      <c r="K28" s="134">
        <f t="shared" si="3"/>
        <v>0.15573653245265323</v>
      </c>
      <c r="L28" s="135">
        <f t="shared" si="4"/>
        <v>44.95</v>
      </c>
      <c r="M28" s="90">
        <f t="shared" si="5"/>
        <v>44.95</v>
      </c>
    </row>
    <row r="29" spans="1:13" x14ac:dyDescent="0.25">
      <c r="A29" s="261" t="s">
        <v>165</v>
      </c>
      <c r="B29" s="262"/>
      <c r="C29" s="262"/>
      <c r="D29" s="262"/>
      <c r="E29" s="262"/>
      <c r="F29" s="262"/>
      <c r="G29" s="262"/>
      <c r="H29" s="262"/>
      <c r="I29" s="262"/>
      <c r="J29" s="262"/>
      <c r="K29" s="262"/>
      <c r="L29" s="263"/>
      <c r="M29" s="91">
        <f>SUM(M3:M28)</f>
        <v>4283.3599999999997</v>
      </c>
    </row>
    <row r="30" spans="1:13" x14ac:dyDescent="0.25">
      <c r="A30" s="264" t="s">
        <v>276</v>
      </c>
      <c r="B30" s="264"/>
      <c r="C30" s="264"/>
      <c r="D30" s="264"/>
      <c r="E30" s="264"/>
      <c r="F30" s="264"/>
      <c r="G30" s="264"/>
      <c r="H30" s="264"/>
      <c r="I30" s="264"/>
      <c r="J30" s="264"/>
      <c r="K30" s="264"/>
      <c r="L30" s="264"/>
      <c r="M30" s="136">
        <f>M29/12</f>
        <v>356.94666666666666</v>
      </c>
    </row>
  </sheetData>
  <mergeCells count="3">
    <mergeCell ref="A1:M1"/>
    <mergeCell ref="A29:L29"/>
    <mergeCell ref="A30:L30"/>
  </mergeCells>
  <pageMargins left="0.511811024" right="0.511811024" top="0.78740157499999996" bottom="0.78740157499999996" header="0.31496062000000002" footer="0.31496062000000002"/>
  <pageSetup paperSize="9" scale="33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410CE5-3ED3-46A1-B626-3958A06EE777}">
  <dimension ref="A1:P100"/>
  <sheetViews>
    <sheetView view="pageBreakPreview" topLeftCell="A16" zoomScale="60" zoomScaleNormal="60" zoomScalePageLayoutView="70" workbookViewId="0">
      <selection activeCell="A26" sqref="A26:P26"/>
    </sheetView>
  </sheetViews>
  <sheetFormatPr defaultRowHeight="15.75" x14ac:dyDescent="0.25"/>
  <cols>
    <col min="1" max="1" width="9.140625" style="95"/>
    <col min="2" max="2" width="80.42578125" style="95" customWidth="1"/>
    <col min="3" max="3" width="24.140625" style="95" bestFit="1" customWidth="1"/>
    <col min="4" max="4" width="27.7109375" style="95" customWidth="1"/>
    <col min="5" max="5" width="37.5703125" style="95" customWidth="1"/>
    <col min="6" max="6" width="34.28515625" style="95" customWidth="1"/>
    <col min="7" max="7" width="34" style="95" customWidth="1"/>
    <col min="8" max="10" width="35.85546875" style="95" customWidth="1"/>
    <col min="11" max="11" width="20.42578125" style="95" customWidth="1"/>
    <col min="12" max="13" width="20.42578125" style="95" bestFit="1" customWidth="1"/>
    <col min="14" max="14" width="26.42578125" style="95" customWidth="1"/>
    <col min="15" max="15" width="22.140625" style="95" customWidth="1"/>
    <col min="16" max="16" width="19.85546875" style="95" customWidth="1"/>
    <col min="17" max="16384" width="9.140625" style="95"/>
  </cols>
  <sheetData>
    <row r="1" spans="1:16" s="96" customFormat="1" ht="15.75" customHeight="1" x14ac:dyDescent="0.2">
      <c r="A1" s="271" t="s">
        <v>237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3"/>
    </row>
    <row r="2" spans="1:16" ht="22.5" customHeight="1" x14ac:dyDescent="0.25">
      <c r="A2" s="274"/>
      <c r="B2" s="275"/>
      <c r="C2" s="275"/>
      <c r="D2" s="275"/>
      <c r="E2" s="275"/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6"/>
    </row>
    <row r="3" spans="1:16" ht="39" customHeight="1" x14ac:dyDescent="0.25">
      <c r="A3" s="279" t="s">
        <v>263</v>
      </c>
      <c r="B3" s="279"/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</row>
    <row r="4" spans="1:16" ht="275.25" customHeight="1" x14ac:dyDescent="0.25">
      <c r="A4" s="113" t="s">
        <v>83</v>
      </c>
      <c r="B4" s="113" t="s">
        <v>238</v>
      </c>
      <c r="C4" s="113" t="s">
        <v>285</v>
      </c>
      <c r="D4" s="113" t="s">
        <v>239</v>
      </c>
      <c r="E4" s="113" t="s">
        <v>264</v>
      </c>
      <c r="F4" s="113" t="s">
        <v>265</v>
      </c>
      <c r="G4" s="113" t="s">
        <v>266</v>
      </c>
      <c r="H4" s="113" t="s">
        <v>267</v>
      </c>
      <c r="I4" s="113" t="s">
        <v>279</v>
      </c>
      <c r="J4" s="113" t="s">
        <v>280</v>
      </c>
      <c r="K4" s="114" t="s">
        <v>231</v>
      </c>
      <c r="L4" s="114" t="s">
        <v>223</v>
      </c>
      <c r="M4" s="114" t="s">
        <v>232</v>
      </c>
      <c r="N4" s="114" t="s">
        <v>233</v>
      </c>
      <c r="O4" s="114" t="s">
        <v>235</v>
      </c>
      <c r="P4" s="114" t="s">
        <v>236</v>
      </c>
    </row>
    <row r="5" spans="1:16" ht="81" customHeight="1" x14ac:dyDescent="0.25">
      <c r="A5" s="98">
        <v>1</v>
      </c>
      <c r="B5" s="100" t="s">
        <v>240</v>
      </c>
      <c r="C5" s="139">
        <f>D5/2</f>
        <v>2</v>
      </c>
      <c r="D5" s="98">
        <v>4</v>
      </c>
      <c r="E5" s="104">
        <v>52.011000000000003</v>
      </c>
      <c r="F5" s="104">
        <v>45</v>
      </c>
      <c r="G5" s="104"/>
      <c r="H5" s="104">
        <v>48</v>
      </c>
      <c r="I5" s="104"/>
      <c r="J5" s="104">
        <v>60</v>
      </c>
      <c r="K5" s="104">
        <f>AVERAGE(E5:J5)</f>
        <v>51.252749999999999</v>
      </c>
      <c r="L5" s="104">
        <f>MEDIAN(E5:J5)</f>
        <v>50.005499999999998</v>
      </c>
      <c r="M5" s="104">
        <f>_xlfn.STDEV.S(E5:J5)</f>
        <v>6.500425389926451</v>
      </c>
      <c r="N5" s="111">
        <f>M5/K5</f>
        <v>0.12683076303079252</v>
      </c>
      <c r="O5" s="104">
        <f>IF(N5&lt;=25%,K5,L5)</f>
        <v>51.252749999999999</v>
      </c>
      <c r="P5" s="104">
        <f>D5*O5</f>
        <v>205.011</v>
      </c>
    </row>
    <row r="6" spans="1:16" ht="31.5" x14ac:dyDescent="0.25">
      <c r="A6" s="98">
        <v>2</v>
      </c>
      <c r="B6" s="100" t="s">
        <v>241</v>
      </c>
      <c r="C6" s="139">
        <f t="shared" ref="C6:C11" si="0">D6/2</f>
        <v>2</v>
      </c>
      <c r="D6" s="98">
        <v>4</v>
      </c>
      <c r="E6" s="104">
        <v>23.693899999999999</v>
      </c>
      <c r="F6" s="104">
        <v>20.5</v>
      </c>
      <c r="G6" s="104">
        <v>24.48</v>
      </c>
      <c r="H6" s="104">
        <v>27</v>
      </c>
      <c r="I6" s="104">
        <v>29</v>
      </c>
      <c r="J6" s="104">
        <v>40</v>
      </c>
      <c r="K6" s="104">
        <f t="shared" ref="K6:K11" si="1">AVERAGE(E6:J6)</f>
        <v>27.445650000000001</v>
      </c>
      <c r="L6" s="104">
        <f t="shared" ref="L6:L11" si="2">MEDIAN(E6:J6)</f>
        <v>25.740000000000002</v>
      </c>
      <c r="M6" s="104">
        <f t="shared" ref="M6:M11" si="3">_xlfn.STDEV.S(E6:J6)</f>
        <v>6.8020448936330871</v>
      </c>
      <c r="N6" s="111">
        <f t="shared" ref="N6:N11" si="4">M6/K6</f>
        <v>0.24783690288381172</v>
      </c>
      <c r="O6" s="104">
        <f t="shared" ref="O6:O11" si="5">IF(N6&lt;=25%,K6,L6)</f>
        <v>27.445650000000001</v>
      </c>
      <c r="P6" s="104">
        <f t="shared" ref="P6:P11" si="6">D6*O6</f>
        <v>109.7826</v>
      </c>
    </row>
    <row r="7" spans="1:16" ht="31.5" x14ac:dyDescent="0.25">
      <c r="A7" s="98">
        <v>3</v>
      </c>
      <c r="B7" s="100" t="s">
        <v>242</v>
      </c>
      <c r="C7" s="139">
        <f t="shared" si="0"/>
        <v>2</v>
      </c>
      <c r="D7" s="98">
        <v>4</v>
      </c>
      <c r="E7" s="104">
        <v>19.301859999999998</v>
      </c>
      <c r="F7" s="104">
        <v>16.7</v>
      </c>
      <c r="G7" s="104">
        <v>21</v>
      </c>
      <c r="H7" s="104">
        <v>24</v>
      </c>
      <c r="I7" s="104">
        <v>28</v>
      </c>
      <c r="J7" s="104">
        <v>35</v>
      </c>
      <c r="K7" s="104">
        <f t="shared" si="1"/>
        <v>24.000309999999999</v>
      </c>
      <c r="L7" s="104">
        <f t="shared" si="2"/>
        <v>22.5</v>
      </c>
      <c r="M7" s="104">
        <f t="shared" si="3"/>
        <v>6.6537586202536705</v>
      </c>
      <c r="N7" s="111">
        <f t="shared" si="4"/>
        <v>0.2772363615408997</v>
      </c>
      <c r="O7" s="104">
        <f t="shared" si="5"/>
        <v>22.5</v>
      </c>
      <c r="P7" s="104">
        <f t="shared" si="6"/>
        <v>90</v>
      </c>
    </row>
    <row r="8" spans="1:16" ht="31.5" x14ac:dyDescent="0.25">
      <c r="A8" s="98">
        <v>4</v>
      </c>
      <c r="B8" s="100" t="s">
        <v>243</v>
      </c>
      <c r="C8" s="139">
        <f t="shared" si="0"/>
        <v>1</v>
      </c>
      <c r="D8" s="98">
        <v>2</v>
      </c>
      <c r="E8" s="104">
        <v>7.1659600000000001</v>
      </c>
      <c r="F8" s="104">
        <v>6.2</v>
      </c>
      <c r="G8" s="104"/>
      <c r="H8" s="104"/>
      <c r="I8" s="104"/>
      <c r="J8" s="104"/>
      <c r="K8" s="104">
        <f t="shared" si="1"/>
        <v>6.6829800000000006</v>
      </c>
      <c r="L8" s="104">
        <f t="shared" si="2"/>
        <v>6.6829800000000006</v>
      </c>
      <c r="M8" s="104">
        <f t="shared" si="3"/>
        <v>0.68303686635495742</v>
      </c>
      <c r="N8" s="111">
        <f t="shared" si="4"/>
        <v>0.10220543325806113</v>
      </c>
      <c r="O8" s="104">
        <f t="shared" si="5"/>
        <v>6.6829800000000006</v>
      </c>
      <c r="P8" s="104">
        <f t="shared" si="6"/>
        <v>13.365960000000001</v>
      </c>
    </row>
    <row r="9" spans="1:16" ht="31.5" x14ac:dyDescent="0.25">
      <c r="A9" s="98">
        <v>5</v>
      </c>
      <c r="B9" s="100" t="s">
        <v>244</v>
      </c>
      <c r="C9" s="139">
        <f t="shared" si="0"/>
        <v>1</v>
      </c>
      <c r="D9" s="98">
        <v>2</v>
      </c>
      <c r="E9" s="104">
        <v>26.583400000000001</v>
      </c>
      <c r="F9" s="104">
        <v>23</v>
      </c>
      <c r="G9" s="104">
        <v>42</v>
      </c>
      <c r="H9" s="104">
        <v>30</v>
      </c>
      <c r="I9" s="104">
        <v>45</v>
      </c>
      <c r="J9" s="104">
        <v>70</v>
      </c>
      <c r="K9" s="104">
        <f t="shared" si="1"/>
        <v>39.430566666666664</v>
      </c>
      <c r="L9" s="104">
        <f t="shared" si="2"/>
        <v>36</v>
      </c>
      <c r="M9" s="104">
        <f t="shared" si="3"/>
        <v>17.297743376714394</v>
      </c>
      <c r="N9" s="111">
        <f t="shared" si="4"/>
        <v>0.43868868339996114</v>
      </c>
      <c r="O9" s="104">
        <f t="shared" si="5"/>
        <v>36</v>
      </c>
      <c r="P9" s="104">
        <f t="shared" si="6"/>
        <v>72</v>
      </c>
    </row>
    <row r="10" spans="1:16" ht="24.75" customHeight="1" x14ac:dyDescent="0.25">
      <c r="A10" s="98">
        <v>6</v>
      </c>
      <c r="B10" s="100" t="s">
        <v>245</v>
      </c>
      <c r="C10" s="139">
        <f t="shared" si="0"/>
        <v>1</v>
      </c>
      <c r="D10" s="98">
        <v>2</v>
      </c>
      <c r="E10" s="104">
        <v>7.5126999999999997</v>
      </c>
      <c r="F10" s="104">
        <v>6.58</v>
      </c>
      <c r="G10" s="104">
        <v>3</v>
      </c>
      <c r="H10" s="104">
        <v>9</v>
      </c>
      <c r="I10" s="104">
        <v>3</v>
      </c>
      <c r="J10" s="104">
        <v>3.5</v>
      </c>
      <c r="K10" s="104">
        <f t="shared" si="1"/>
        <v>5.4321166666666665</v>
      </c>
      <c r="L10" s="104">
        <f t="shared" si="2"/>
        <v>5.04</v>
      </c>
      <c r="M10" s="104">
        <f t="shared" si="3"/>
        <v>2.6053680127127259</v>
      </c>
      <c r="N10" s="111">
        <f t="shared" si="4"/>
        <v>0.47962298540091358</v>
      </c>
      <c r="O10" s="104">
        <f t="shared" si="5"/>
        <v>5.04</v>
      </c>
      <c r="P10" s="104">
        <f t="shared" si="6"/>
        <v>10.08</v>
      </c>
    </row>
    <row r="11" spans="1:16" ht="31.5" x14ac:dyDescent="0.25">
      <c r="A11" s="98">
        <v>7</v>
      </c>
      <c r="B11" s="100" t="s">
        <v>169</v>
      </c>
      <c r="C11" s="139">
        <f t="shared" si="0"/>
        <v>1</v>
      </c>
      <c r="D11" s="98">
        <v>2</v>
      </c>
      <c r="E11" s="104">
        <v>0</v>
      </c>
      <c r="F11" s="104">
        <v>8.9</v>
      </c>
      <c r="G11" s="104">
        <v>2</v>
      </c>
      <c r="H11" s="104">
        <v>6</v>
      </c>
      <c r="I11" s="104">
        <v>3</v>
      </c>
      <c r="J11" s="104">
        <v>7</v>
      </c>
      <c r="K11" s="104">
        <f t="shared" si="1"/>
        <v>4.4833333333333334</v>
      </c>
      <c r="L11" s="104">
        <f t="shared" si="2"/>
        <v>4.5</v>
      </c>
      <c r="M11" s="104">
        <f t="shared" si="3"/>
        <v>3.3647684417603942</v>
      </c>
      <c r="N11" s="111">
        <f t="shared" si="4"/>
        <v>0.75050597213986492</v>
      </c>
      <c r="O11" s="104">
        <f t="shared" si="5"/>
        <v>4.5</v>
      </c>
      <c r="P11" s="104">
        <f t="shared" si="6"/>
        <v>9</v>
      </c>
    </row>
    <row r="12" spans="1:16" s="112" customFormat="1" ht="16.5" x14ac:dyDescent="0.25">
      <c r="A12" s="280" t="s">
        <v>246</v>
      </c>
      <c r="B12" s="281"/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  <c r="N12" s="281"/>
      <c r="O12" s="282"/>
      <c r="P12" s="115">
        <f>SUM(P5:P11)</f>
        <v>509.23955999999993</v>
      </c>
    </row>
    <row r="13" spans="1:16" s="112" customFormat="1" ht="16.5" x14ac:dyDescent="0.25">
      <c r="A13" s="280" t="s">
        <v>229</v>
      </c>
      <c r="B13" s="281"/>
      <c r="C13" s="281"/>
      <c r="D13" s="281"/>
      <c r="E13" s="281"/>
      <c r="F13" s="281"/>
      <c r="G13" s="281"/>
      <c r="H13" s="281"/>
      <c r="I13" s="281"/>
      <c r="J13" s="281"/>
      <c r="K13" s="281"/>
      <c r="L13" s="281"/>
      <c r="M13" s="281"/>
      <c r="N13" s="281"/>
      <c r="O13" s="282"/>
      <c r="P13" s="115">
        <f>P12/12</f>
        <v>42.436629999999994</v>
      </c>
    </row>
    <row r="14" spans="1:16" ht="16.5" x14ac:dyDescent="0.3">
      <c r="A14" s="116"/>
      <c r="B14" s="116"/>
      <c r="C14" s="116"/>
      <c r="D14" s="116"/>
      <c r="E14" s="116"/>
      <c r="F14" s="116"/>
      <c r="G14" s="117"/>
      <c r="H14" s="117"/>
      <c r="I14" s="117"/>
      <c r="J14" s="117"/>
      <c r="K14" s="117"/>
      <c r="L14" s="117"/>
      <c r="M14" s="117"/>
      <c r="N14" s="117"/>
      <c r="O14" s="117"/>
      <c r="P14" s="117"/>
    </row>
    <row r="15" spans="1:16" ht="274.5" customHeight="1" x14ac:dyDescent="0.25">
      <c r="A15" s="114" t="s">
        <v>83</v>
      </c>
      <c r="B15" s="114" t="s">
        <v>247</v>
      </c>
      <c r="C15" s="114"/>
      <c r="D15" s="114" t="s">
        <v>239</v>
      </c>
      <c r="E15" s="114" t="s">
        <v>264</v>
      </c>
      <c r="F15" s="114" t="s">
        <v>265</v>
      </c>
      <c r="G15" s="114" t="s">
        <v>266</v>
      </c>
      <c r="H15" s="114" t="s">
        <v>267</v>
      </c>
      <c r="I15" s="114" t="s">
        <v>279</v>
      </c>
      <c r="J15" s="114" t="s">
        <v>280</v>
      </c>
      <c r="K15" s="114" t="str">
        <f>K4</f>
        <v>Media</v>
      </c>
      <c r="L15" s="114" t="str">
        <f t="shared" ref="L15:P15" si="7">L4</f>
        <v>Mediana</v>
      </c>
      <c r="M15" s="114" t="str">
        <f t="shared" si="7"/>
        <v xml:space="preserve">Desvio Padrão </v>
      </c>
      <c r="N15" s="114" t="str">
        <f t="shared" si="7"/>
        <v>CV</v>
      </c>
      <c r="O15" s="114" t="str">
        <f t="shared" si="7"/>
        <v>Valor Unitáio Estimado 
(Regra CV≤25%: Média; Caso contrário: Mediana)</v>
      </c>
      <c r="P15" s="114" t="str">
        <f t="shared" si="7"/>
        <v>Total Estimado</v>
      </c>
    </row>
    <row r="16" spans="1:16" ht="31.5" x14ac:dyDescent="0.25">
      <c r="A16" s="98">
        <v>1</v>
      </c>
      <c r="B16" s="100" t="s">
        <v>248</v>
      </c>
      <c r="C16" s="98">
        <f>D16/2</f>
        <v>2</v>
      </c>
      <c r="D16" s="98">
        <v>4</v>
      </c>
      <c r="E16" s="99">
        <v>23.693899999999999</v>
      </c>
      <c r="F16" s="105">
        <v>20.5</v>
      </c>
      <c r="G16" s="101">
        <v>24.48</v>
      </c>
      <c r="H16" s="105">
        <f>H6</f>
        <v>27</v>
      </c>
      <c r="I16" s="105">
        <f>I6</f>
        <v>29</v>
      </c>
      <c r="J16" s="105">
        <v>40</v>
      </c>
      <c r="K16" s="104">
        <f>AVERAGE(E16:J16)</f>
        <v>27.445650000000001</v>
      </c>
      <c r="L16" s="104">
        <f>MEDIAN(E16:J16)</f>
        <v>25.740000000000002</v>
      </c>
      <c r="M16" s="104">
        <f>_xlfn.STDEV.S(E16:J16)</f>
        <v>6.8020448936330871</v>
      </c>
      <c r="N16" s="111">
        <f>M16/K16</f>
        <v>0.24783690288381172</v>
      </c>
      <c r="O16" s="104">
        <f>IF(N16&lt;=25%,K16,L16)</f>
        <v>27.445650000000001</v>
      </c>
      <c r="P16" s="104">
        <f>D16*O16</f>
        <v>109.7826</v>
      </c>
    </row>
    <row r="17" spans="1:16" ht="31.5" x14ac:dyDescent="0.25">
      <c r="A17" s="98">
        <v>2</v>
      </c>
      <c r="B17" s="100" t="s">
        <v>249</v>
      </c>
      <c r="C17" s="98">
        <f t="shared" ref="C17:C20" si="8">D17/2</f>
        <v>2</v>
      </c>
      <c r="D17" s="98">
        <v>4</v>
      </c>
      <c r="E17" s="99">
        <v>19.301859999999998</v>
      </c>
      <c r="F17" s="105">
        <v>16.7</v>
      </c>
      <c r="G17" s="101">
        <v>21</v>
      </c>
      <c r="H17" s="105">
        <f>H7</f>
        <v>24</v>
      </c>
      <c r="I17" s="105">
        <f>I7</f>
        <v>28</v>
      </c>
      <c r="J17" s="105">
        <v>35</v>
      </c>
      <c r="K17" s="104">
        <f t="shared" ref="K17:K20" si="9">AVERAGE(E17:J17)</f>
        <v>24.000309999999999</v>
      </c>
      <c r="L17" s="104">
        <f t="shared" ref="L17:L20" si="10">MEDIAN(E17:J17)</f>
        <v>22.5</v>
      </c>
      <c r="M17" s="104">
        <f t="shared" ref="M17:M20" si="11">_xlfn.STDEV.S(E17:J17)</f>
        <v>6.6537586202536705</v>
      </c>
      <c r="N17" s="111">
        <f t="shared" ref="N17:N20" si="12">M17/K17</f>
        <v>0.2772363615408997</v>
      </c>
      <c r="O17" s="104">
        <f t="shared" ref="O17:O20" si="13">IF(N17&lt;=25%,K17,L17)</f>
        <v>22.5</v>
      </c>
      <c r="P17" s="104">
        <f t="shared" ref="P17:P20" si="14">D17*O17</f>
        <v>90</v>
      </c>
    </row>
    <row r="18" spans="1:16" x14ac:dyDescent="0.25">
      <c r="A18" s="98">
        <v>3</v>
      </c>
      <c r="B18" s="100" t="s">
        <v>250</v>
      </c>
      <c r="C18" s="98">
        <f t="shared" si="8"/>
        <v>1</v>
      </c>
      <c r="D18" s="98">
        <v>2</v>
      </c>
      <c r="E18" s="99">
        <v>26.583400000000001</v>
      </c>
      <c r="F18" s="105">
        <v>23</v>
      </c>
      <c r="G18" s="101">
        <v>42</v>
      </c>
      <c r="H18" s="105">
        <v>30</v>
      </c>
      <c r="I18" s="105">
        <f>I9</f>
        <v>45</v>
      </c>
      <c r="J18" s="105">
        <v>60</v>
      </c>
      <c r="K18" s="104">
        <f t="shared" si="9"/>
        <v>37.7639</v>
      </c>
      <c r="L18" s="104">
        <f t="shared" si="10"/>
        <v>36</v>
      </c>
      <c r="M18" s="104">
        <f t="shared" si="11"/>
        <v>13.914052582191859</v>
      </c>
      <c r="N18" s="111">
        <f t="shared" si="12"/>
        <v>0.3684485072302347</v>
      </c>
      <c r="O18" s="104">
        <f t="shared" si="13"/>
        <v>36</v>
      </c>
      <c r="P18" s="104">
        <f t="shared" si="14"/>
        <v>72</v>
      </c>
    </row>
    <row r="19" spans="1:16" x14ac:dyDescent="0.25">
      <c r="A19" s="98">
        <v>4</v>
      </c>
      <c r="B19" s="100" t="s">
        <v>245</v>
      </c>
      <c r="C19" s="98">
        <f t="shared" si="8"/>
        <v>1</v>
      </c>
      <c r="D19" s="98">
        <v>2</v>
      </c>
      <c r="E19" s="99">
        <v>7.5126999999999997</v>
      </c>
      <c r="F19" s="105">
        <v>3</v>
      </c>
      <c r="G19" s="101">
        <v>3</v>
      </c>
      <c r="H19" s="101">
        <v>9</v>
      </c>
      <c r="I19" s="105">
        <f>I10</f>
        <v>3</v>
      </c>
      <c r="J19" s="105">
        <v>4</v>
      </c>
      <c r="K19" s="104">
        <f t="shared" si="9"/>
        <v>4.9187833333333328</v>
      </c>
      <c r="L19" s="104">
        <f t="shared" si="10"/>
        <v>3.5</v>
      </c>
      <c r="M19" s="104">
        <f t="shared" si="11"/>
        <v>2.6560905258794674</v>
      </c>
      <c r="N19" s="111">
        <f t="shared" si="12"/>
        <v>0.53998933189023046</v>
      </c>
      <c r="O19" s="104">
        <f t="shared" si="13"/>
        <v>3.5</v>
      </c>
      <c r="P19" s="104">
        <f t="shared" si="14"/>
        <v>7</v>
      </c>
    </row>
    <row r="20" spans="1:16" ht="31.5" x14ac:dyDescent="0.25">
      <c r="A20" s="98">
        <v>5</v>
      </c>
      <c r="B20" s="100" t="str">
        <f>B11</f>
        <v>crachá de identificação do funcionário, confeccionado em material resistente, com cordão.</v>
      </c>
      <c r="C20" s="98">
        <f t="shared" si="8"/>
        <v>1</v>
      </c>
      <c r="D20" s="98">
        <v>2</v>
      </c>
      <c r="E20" s="99"/>
      <c r="F20" s="105">
        <v>8.9</v>
      </c>
      <c r="G20" s="101">
        <v>2</v>
      </c>
      <c r="H20" s="101">
        <v>6</v>
      </c>
      <c r="I20" s="105">
        <f>I11</f>
        <v>3</v>
      </c>
      <c r="J20" s="105">
        <v>7</v>
      </c>
      <c r="K20" s="104">
        <f t="shared" si="9"/>
        <v>5.38</v>
      </c>
      <c r="L20" s="104">
        <f t="shared" si="10"/>
        <v>6</v>
      </c>
      <c r="M20" s="104">
        <f t="shared" si="11"/>
        <v>2.8499122793517708</v>
      </c>
      <c r="N20" s="111">
        <f t="shared" si="12"/>
        <v>0.52972347199847047</v>
      </c>
      <c r="O20" s="104">
        <f t="shared" si="13"/>
        <v>6</v>
      </c>
      <c r="P20" s="104">
        <f t="shared" si="14"/>
        <v>12</v>
      </c>
    </row>
    <row r="21" spans="1:16" ht="16.5" x14ac:dyDescent="0.25">
      <c r="A21" s="268" t="s">
        <v>251</v>
      </c>
      <c r="B21" s="269"/>
      <c r="C21" s="269"/>
      <c r="D21" s="269"/>
      <c r="E21" s="269"/>
      <c r="F21" s="269"/>
      <c r="G21" s="269"/>
      <c r="H21" s="269"/>
      <c r="I21" s="269"/>
      <c r="J21" s="269"/>
      <c r="K21" s="269"/>
      <c r="L21" s="269"/>
      <c r="M21" s="269"/>
      <c r="N21" s="269"/>
      <c r="O21" s="270"/>
      <c r="P21" s="115">
        <f>SUM(P16:P20)</f>
        <v>290.7826</v>
      </c>
    </row>
    <row r="22" spans="1:16" ht="16.5" x14ac:dyDescent="0.25">
      <c r="A22" s="268" t="s">
        <v>229</v>
      </c>
      <c r="B22" s="269"/>
      <c r="C22" s="269"/>
      <c r="D22" s="269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70"/>
      <c r="P22" s="115">
        <f>P21/12</f>
        <v>24.231883333333332</v>
      </c>
    </row>
    <row r="23" spans="1:16" ht="16.5" x14ac:dyDescent="0.3">
      <c r="A23" s="278"/>
      <c r="B23" s="278"/>
      <c r="C23" s="278"/>
      <c r="D23" s="278"/>
      <c r="E23" s="278"/>
      <c r="F23" s="278"/>
      <c r="G23" s="117"/>
      <c r="H23" s="117"/>
      <c r="I23" s="117"/>
      <c r="J23" s="117"/>
      <c r="K23" s="117"/>
      <c r="L23" s="117"/>
      <c r="M23" s="117"/>
      <c r="N23" s="117"/>
      <c r="O23" s="117"/>
      <c r="P23" s="117"/>
    </row>
    <row r="24" spans="1:16" ht="16.5" x14ac:dyDescent="0.25">
      <c r="A24" s="268" t="s">
        <v>252</v>
      </c>
      <c r="B24" s="269"/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69"/>
      <c r="N24" s="269"/>
      <c r="O24" s="270"/>
      <c r="P24" s="118">
        <f>(P13+P22)/2</f>
        <v>33.334256666666661</v>
      </c>
    </row>
    <row r="25" spans="1:16" x14ac:dyDescent="0.25">
      <c r="A25" s="106"/>
      <c r="B25" s="106"/>
      <c r="C25" s="106"/>
      <c r="D25" s="106"/>
      <c r="E25" s="106"/>
      <c r="F25" s="106"/>
      <c r="G25" s="101"/>
      <c r="H25" s="101"/>
      <c r="I25" s="101"/>
      <c r="J25" s="101"/>
      <c r="K25" s="101"/>
      <c r="L25" s="101"/>
      <c r="M25" s="101"/>
      <c r="N25" s="101"/>
      <c r="O25" s="101"/>
      <c r="P25" s="101"/>
    </row>
    <row r="26" spans="1:16" ht="46.5" customHeight="1" x14ac:dyDescent="0.25">
      <c r="A26" s="279" t="s">
        <v>350</v>
      </c>
      <c r="B26" s="279"/>
      <c r="C26" s="279"/>
      <c r="D26" s="279"/>
      <c r="E26" s="279"/>
      <c r="F26" s="279"/>
      <c r="G26" s="279"/>
      <c r="H26" s="279"/>
      <c r="I26" s="279"/>
      <c r="J26" s="279"/>
      <c r="K26" s="279"/>
      <c r="L26" s="279"/>
      <c r="M26" s="279"/>
      <c r="N26" s="279"/>
      <c r="O26" s="279"/>
      <c r="P26" s="279"/>
    </row>
    <row r="27" spans="1:16" ht="277.5" customHeight="1" x14ac:dyDescent="0.25">
      <c r="A27" s="114" t="s">
        <v>83</v>
      </c>
      <c r="B27" s="114" t="s">
        <v>238</v>
      </c>
      <c r="C27" s="114" t="s">
        <v>285</v>
      </c>
      <c r="D27" s="114" t="s">
        <v>239</v>
      </c>
      <c r="E27" s="114" t="s">
        <v>264</v>
      </c>
      <c r="F27" s="114" t="s">
        <v>265</v>
      </c>
      <c r="G27" s="114" t="s">
        <v>266</v>
      </c>
      <c r="H27" s="114" t="s">
        <v>267</v>
      </c>
      <c r="I27" s="114" t="s">
        <v>279</v>
      </c>
      <c r="J27" s="114" t="s">
        <v>284</v>
      </c>
      <c r="K27" s="114" t="str">
        <f>K15</f>
        <v>Media</v>
      </c>
      <c r="L27" s="114" t="str">
        <f t="shared" ref="L27:P27" si="15">L15</f>
        <v>Mediana</v>
      </c>
      <c r="M27" s="114" t="str">
        <f t="shared" si="15"/>
        <v xml:space="preserve">Desvio Padrão </v>
      </c>
      <c r="N27" s="114" t="str">
        <f t="shared" si="15"/>
        <v>CV</v>
      </c>
      <c r="O27" s="114" t="str">
        <f t="shared" si="15"/>
        <v>Valor Unitáio Estimado 
(Regra CV≤25%: Média; Caso contrário: Mediana)</v>
      </c>
      <c r="P27" s="114" t="str">
        <f t="shared" si="15"/>
        <v>Total Estimado</v>
      </c>
    </row>
    <row r="28" spans="1:16" ht="31.5" x14ac:dyDescent="0.25">
      <c r="A28" s="98">
        <v>1</v>
      </c>
      <c r="B28" s="100" t="s">
        <v>253</v>
      </c>
      <c r="C28" s="98">
        <f>D28/2</f>
        <v>2</v>
      </c>
      <c r="D28" s="98">
        <v>4</v>
      </c>
      <c r="E28" s="99">
        <v>23.693899999999999</v>
      </c>
      <c r="F28" s="105">
        <v>20.5</v>
      </c>
      <c r="G28" s="110">
        <v>24.48</v>
      </c>
      <c r="H28" s="105">
        <f t="shared" ref="H28:I29" si="16">H16</f>
        <v>27</v>
      </c>
      <c r="I28" s="105">
        <f t="shared" si="16"/>
        <v>29</v>
      </c>
      <c r="J28" s="105">
        <v>40</v>
      </c>
      <c r="K28" s="104">
        <f>AVERAGE(E28:J28)</f>
        <v>27.445650000000001</v>
      </c>
      <c r="L28" s="104">
        <f>MEDIAN(E28:J28)</f>
        <v>25.740000000000002</v>
      </c>
      <c r="M28" s="104">
        <f>_xlfn.STDEV.S(E28:J28)</f>
        <v>6.8020448936330871</v>
      </c>
      <c r="N28" s="111">
        <f>M28/K28</f>
        <v>0.24783690288381172</v>
      </c>
      <c r="O28" s="104">
        <f>IF(N28&lt;=25%,K28,L28)</f>
        <v>27.445650000000001</v>
      </c>
      <c r="P28" s="104">
        <f>D28*O28</f>
        <v>109.7826</v>
      </c>
    </row>
    <row r="29" spans="1:16" ht="31.5" x14ac:dyDescent="0.25">
      <c r="A29" s="98">
        <v>2</v>
      </c>
      <c r="B29" s="100" t="s">
        <v>254</v>
      </c>
      <c r="C29" s="98">
        <f t="shared" ref="C29:C32" si="17">D29/2</f>
        <v>2</v>
      </c>
      <c r="D29" s="98">
        <v>4</v>
      </c>
      <c r="E29" s="99">
        <v>19.301859999999998</v>
      </c>
      <c r="F29" s="105">
        <v>16.7</v>
      </c>
      <c r="G29" s="110">
        <v>21</v>
      </c>
      <c r="H29" s="105">
        <f t="shared" si="16"/>
        <v>24</v>
      </c>
      <c r="I29" s="105">
        <f t="shared" si="16"/>
        <v>28</v>
      </c>
      <c r="J29" s="105">
        <v>35</v>
      </c>
      <c r="K29" s="104">
        <f t="shared" ref="K29:K32" si="18">AVERAGE(E29:J29)</f>
        <v>24.000309999999999</v>
      </c>
      <c r="L29" s="104">
        <f t="shared" ref="L29:L32" si="19">MEDIAN(E29:J29)</f>
        <v>22.5</v>
      </c>
      <c r="M29" s="104">
        <f t="shared" ref="M29:M32" si="20">_xlfn.STDEV.S(E29:J29)</f>
        <v>6.6537586202536705</v>
      </c>
      <c r="N29" s="111">
        <f t="shared" ref="N29:N32" si="21">M29/K29</f>
        <v>0.2772363615408997</v>
      </c>
      <c r="O29" s="104">
        <f t="shared" ref="O29:O32" si="22">IF(N29&lt;=25%,K29,L29)</f>
        <v>22.5</v>
      </c>
      <c r="P29" s="104">
        <f t="shared" ref="P29:P32" si="23">D29*O29</f>
        <v>90</v>
      </c>
    </row>
    <row r="30" spans="1:16" ht="31.5" x14ac:dyDescent="0.25">
      <c r="A30" s="98">
        <v>3</v>
      </c>
      <c r="B30" s="100" t="s">
        <v>244</v>
      </c>
      <c r="C30" s="98">
        <f t="shared" si="17"/>
        <v>1</v>
      </c>
      <c r="D30" s="98">
        <v>2</v>
      </c>
      <c r="E30" s="99">
        <v>26.583400000000001</v>
      </c>
      <c r="F30" s="105">
        <v>23</v>
      </c>
      <c r="G30" s="110">
        <v>42</v>
      </c>
      <c r="H30" s="110">
        <v>30</v>
      </c>
      <c r="I30" s="110">
        <f>I18</f>
        <v>45</v>
      </c>
      <c r="J30" s="110">
        <v>60</v>
      </c>
      <c r="K30" s="104">
        <f t="shared" si="18"/>
        <v>37.7639</v>
      </c>
      <c r="L30" s="104">
        <f t="shared" si="19"/>
        <v>36</v>
      </c>
      <c r="M30" s="104">
        <f t="shared" si="20"/>
        <v>13.914052582191859</v>
      </c>
      <c r="N30" s="111">
        <f t="shared" si="21"/>
        <v>0.3684485072302347</v>
      </c>
      <c r="O30" s="104">
        <f t="shared" si="22"/>
        <v>36</v>
      </c>
      <c r="P30" s="104">
        <f t="shared" si="23"/>
        <v>72</v>
      </c>
    </row>
    <row r="31" spans="1:16" x14ac:dyDescent="0.25">
      <c r="A31" s="98">
        <v>4</v>
      </c>
      <c r="B31" s="100" t="s">
        <v>245</v>
      </c>
      <c r="C31" s="98">
        <f t="shared" si="17"/>
        <v>1</v>
      </c>
      <c r="D31" s="98">
        <v>2</v>
      </c>
      <c r="E31" s="99">
        <v>7.5126999999999997</v>
      </c>
      <c r="F31" s="105">
        <v>6.58</v>
      </c>
      <c r="G31" s="110">
        <v>3</v>
      </c>
      <c r="H31" s="110">
        <f>H19</f>
        <v>9</v>
      </c>
      <c r="I31" s="110">
        <f>I19</f>
        <v>3</v>
      </c>
      <c r="J31" s="110">
        <v>4</v>
      </c>
      <c r="K31" s="104">
        <f t="shared" si="18"/>
        <v>5.5154500000000004</v>
      </c>
      <c r="L31" s="104">
        <f t="shared" si="19"/>
        <v>5.29</v>
      </c>
      <c r="M31" s="104">
        <f t="shared" si="20"/>
        <v>2.5383431239688612</v>
      </c>
      <c r="N31" s="111">
        <f t="shared" si="21"/>
        <v>0.46022412023839598</v>
      </c>
      <c r="O31" s="104">
        <f t="shared" si="22"/>
        <v>5.29</v>
      </c>
      <c r="P31" s="104">
        <f t="shared" si="23"/>
        <v>10.58</v>
      </c>
    </row>
    <row r="32" spans="1:16" ht="31.5" x14ac:dyDescent="0.25">
      <c r="A32" s="98">
        <v>5</v>
      </c>
      <c r="B32" s="100" t="str">
        <f>B20</f>
        <v>crachá de identificação do funcionário, confeccionado em material resistente, com cordão.</v>
      </c>
      <c r="C32" s="98">
        <f t="shared" si="17"/>
        <v>1</v>
      </c>
      <c r="D32" s="98">
        <v>2</v>
      </c>
      <c r="E32" s="99"/>
      <c r="F32" s="105">
        <v>8.9</v>
      </c>
      <c r="G32" s="110">
        <v>2</v>
      </c>
      <c r="H32" s="110">
        <v>6</v>
      </c>
      <c r="I32" s="110">
        <f>I20</f>
        <v>3</v>
      </c>
      <c r="J32" s="110">
        <v>7</v>
      </c>
      <c r="K32" s="104">
        <f t="shared" si="18"/>
        <v>5.38</v>
      </c>
      <c r="L32" s="104">
        <f t="shared" si="19"/>
        <v>6</v>
      </c>
      <c r="M32" s="104">
        <f t="shared" si="20"/>
        <v>2.8499122793517708</v>
      </c>
      <c r="N32" s="111">
        <f t="shared" si="21"/>
        <v>0.52972347199847047</v>
      </c>
      <c r="O32" s="104">
        <f t="shared" si="22"/>
        <v>6</v>
      </c>
      <c r="P32" s="104">
        <f t="shared" si="23"/>
        <v>12</v>
      </c>
    </row>
    <row r="33" spans="1:16" ht="16.5" x14ac:dyDescent="0.25">
      <c r="A33" s="268" t="s">
        <v>246</v>
      </c>
      <c r="B33" s="269"/>
      <c r="C33" s="269"/>
      <c r="D33" s="269"/>
      <c r="E33" s="269"/>
      <c r="F33" s="269"/>
      <c r="G33" s="269"/>
      <c r="H33" s="269"/>
      <c r="I33" s="269"/>
      <c r="J33" s="269"/>
      <c r="K33" s="269"/>
      <c r="L33" s="269"/>
      <c r="M33" s="269"/>
      <c r="N33" s="269"/>
      <c r="O33" s="270"/>
      <c r="P33" s="118">
        <f>SUM(P28:P32)</f>
        <v>294.36259999999999</v>
      </c>
    </row>
    <row r="34" spans="1:16" ht="16.5" x14ac:dyDescent="0.25">
      <c r="A34" s="268" t="s">
        <v>229</v>
      </c>
      <c r="B34" s="269"/>
      <c r="C34" s="269"/>
      <c r="D34" s="269"/>
      <c r="E34" s="269"/>
      <c r="F34" s="269"/>
      <c r="G34" s="269"/>
      <c r="H34" s="269"/>
      <c r="I34" s="269"/>
      <c r="J34" s="269"/>
      <c r="K34" s="269"/>
      <c r="L34" s="269"/>
      <c r="M34" s="269"/>
      <c r="N34" s="269"/>
      <c r="O34" s="270"/>
      <c r="P34" s="118">
        <f>P33/12</f>
        <v>24.530216666666664</v>
      </c>
    </row>
    <row r="35" spans="1:16" x14ac:dyDescent="0.25">
      <c r="A35" s="277"/>
      <c r="B35" s="277"/>
      <c r="C35" s="277"/>
      <c r="D35" s="277"/>
      <c r="E35" s="277"/>
      <c r="F35" s="277"/>
      <c r="G35" s="101"/>
      <c r="H35" s="101"/>
      <c r="I35" s="101"/>
      <c r="J35" s="101"/>
      <c r="K35" s="101"/>
      <c r="L35" s="101"/>
      <c r="M35" s="101"/>
      <c r="N35" s="101"/>
      <c r="O35" s="101"/>
      <c r="P35" s="101"/>
    </row>
    <row r="36" spans="1:16" ht="267.75" customHeight="1" x14ac:dyDescent="0.25">
      <c r="A36" s="114" t="s">
        <v>83</v>
      </c>
      <c r="B36" s="114" t="s">
        <v>247</v>
      </c>
      <c r="C36" s="114" t="s">
        <v>285</v>
      </c>
      <c r="D36" s="114" t="s">
        <v>239</v>
      </c>
      <c r="E36" s="114" t="str">
        <f>E27</f>
        <v>VALOR UNITÁRIO 1
PREGÃO 09/2021 SUDAM.
CONTRATANTE SUDAM.
EMPRESA: DIAMOND. 
CONTRATO 02/2022. 
VIGÊNCIA : 15/02/2022 ATÉ 15/02/2027
(Preço Reajustado com IPCA de 15,58%, referente a fev/2022  jan/2025)</v>
      </c>
      <c r="F36" s="114" t="str">
        <f>F27</f>
        <v>VALOR UNITÁRIO 2
Pesquisa com Fornecedor 
Empresa:  Tempory Serviços Ltda CNPJ: 23.274.187/0001-17
Data: 20/02/2025;</v>
      </c>
      <c r="G36" s="114" t="str">
        <f>G27</f>
        <v>Valor Unitário 3:
PREGÃO ELETRÔNICO: Nº 90003/2024,
EMPRESA: LG SERVIÇOS PROFISSIONAIS LTDA;
DATA: 28/08/2024</v>
      </c>
      <c r="H36" s="114" t="str">
        <f>H27</f>
        <v>VALOR UNITÁRIO 4
Pregão Eletrônico N° 90001/2024 (Lei 14.133/2021)
UASG 373037 - SUPERINTENDENCIA REGIONAL DE SANTAREM-SR
Data da Compra: 22/03/2024
Empresa: DIAMOND</v>
      </c>
      <c r="I36" s="114" t="str">
        <f>I27</f>
        <v xml:space="preserve">Valor Unitário 5
Pregão Eletrônico N° 90006/2024 (Lei 14.133/2021)
UASG 240125 - MUSEU PARAENSE EMILIO GOELDI
Emprsa: L G SERVICOS PROFISSIONAIS LTDA
Data: 25/07/2024
</v>
      </c>
      <c r="J36" s="114" t="str">
        <f>H48</f>
        <v xml:space="preserve">Valor Unitário 4:
Pregão Eletrônico N° 90004/2025 (SRP) (Lei 14.133/2021)
UASG 170058 - SUP.REGIONAL RECEITA FEDERAL 4A.RF/PE
Empresa: SUPREMA EMPREENDIMENTOS LTDA
PB
Data: 21/02/2025
</v>
      </c>
      <c r="K36" s="114" t="str">
        <f>K27</f>
        <v>Media</v>
      </c>
      <c r="L36" s="114" t="str">
        <f t="shared" ref="L36:P36" si="24">L27</f>
        <v>Mediana</v>
      </c>
      <c r="M36" s="114" t="str">
        <f t="shared" si="24"/>
        <v xml:space="preserve">Desvio Padrão </v>
      </c>
      <c r="N36" s="114" t="str">
        <f t="shared" si="24"/>
        <v>CV</v>
      </c>
      <c r="O36" s="114" t="str">
        <f t="shared" si="24"/>
        <v>Valor Unitáio Estimado 
(Regra CV≤25%: Média; Caso contrário: Mediana)</v>
      </c>
      <c r="P36" s="114" t="str">
        <f t="shared" si="24"/>
        <v>Total Estimado</v>
      </c>
    </row>
    <row r="37" spans="1:16" ht="31.5" x14ac:dyDescent="0.25">
      <c r="A37" s="98">
        <v>1</v>
      </c>
      <c r="B37" s="100" t="s">
        <v>255</v>
      </c>
      <c r="C37" s="139">
        <f>D37/2</f>
        <v>2</v>
      </c>
      <c r="D37" s="98">
        <v>4</v>
      </c>
      <c r="E37" s="99">
        <v>23.693899999999999</v>
      </c>
      <c r="F37" s="105">
        <f>F28</f>
        <v>20.5</v>
      </c>
      <c r="G37" s="105">
        <f>G28</f>
        <v>24.48</v>
      </c>
      <c r="H37" s="105">
        <f>H28</f>
        <v>27</v>
      </c>
      <c r="I37" s="105">
        <f>I28</f>
        <v>29</v>
      </c>
      <c r="J37" s="105">
        <f>J28</f>
        <v>40</v>
      </c>
      <c r="K37" s="104">
        <f>AVERAGE(E37:J37)</f>
        <v>27.445650000000001</v>
      </c>
      <c r="L37" s="104">
        <f>MEDIAN(E37:J37)</f>
        <v>25.740000000000002</v>
      </c>
      <c r="M37" s="104">
        <f>_xlfn.STDEV.S(E37:J37)</f>
        <v>6.8020448936330871</v>
      </c>
      <c r="N37" s="111">
        <f>M37/K37</f>
        <v>0.24783690288381172</v>
      </c>
      <c r="O37" s="104">
        <f>IF(N37&lt;=25%,K37,L37)</f>
        <v>27.445650000000001</v>
      </c>
      <c r="P37" s="104">
        <f>D37*O37</f>
        <v>109.7826</v>
      </c>
    </row>
    <row r="38" spans="1:16" ht="31.5" x14ac:dyDescent="0.25">
      <c r="A38" s="98">
        <v>2</v>
      </c>
      <c r="B38" s="100" t="s">
        <v>254</v>
      </c>
      <c r="C38" s="139">
        <f t="shared" ref="C38:C41" si="25">D38/2</f>
        <v>2</v>
      </c>
      <c r="D38" s="98">
        <v>4</v>
      </c>
      <c r="E38" s="99">
        <v>19.301859999999998</v>
      </c>
      <c r="F38" s="105">
        <f t="shared" ref="F38:G39" si="26">F29</f>
        <v>16.7</v>
      </c>
      <c r="G38" s="105">
        <f t="shared" si="26"/>
        <v>21</v>
      </c>
      <c r="H38" s="105">
        <f>H29</f>
        <v>24</v>
      </c>
      <c r="I38" s="105">
        <f t="shared" ref="I38:J41" si="27">I29</f>
        <v>28</v>
      </c>
      <c r="J38" s="105">
        <f t="shared" si="27"/>
        <v>35</v>
      </c>
      <c r="K38" s="104">
        <f t="shared" ref="K38:K41" si="28">AVERAGE(E38:J38)</f>
        <v>24.000309999999999</v>
      </c>
      <c r="L38" s="104">
        <f t="shared" ref="L38:L41" si="29">MEDIAN(E38:J38)</f>
        <v>22.5</v>
      </c>
      <c r="M38" s="104">
        <f t="shared" ref="M38:M41" si="30">_xlfn.STDEV.S(E38:J38)</f>
        <v>6.6537586202536705</v>
      </c>
      <c r="N38" s="111">
        <f t="shared" ref="N38:N41" si="31">M38/K38</f>
        <v>0.2772363615408997</v>
      </c>
      <c r="O38" s="104">
        <f t="shared" ref="O38:O41" si="32">IF(N38&lt;=25%,K38,L38)</f>
        <v>22.5</v>
      </c>
      <c r="P38" s="104">
        <f t="shared" ref="P38:P41" si="33">D38*O38</f>
        <v>90</v>
      </c>
    </row>
    <row r="39" spans="1:16" x14ac:dyDescent="0.25">
      <c r="A39" s="98">
        <v>3</v>
      </c>
      <c r="B39" s="100" t="s">
        <v>256</v>
      </c>
      <c r="C39" s="139">
        <f t="shared" si="25"/>
        <v>1</v>
      </c>
      <c r="D39" s="98">
        <v>2</v>
      </c>
      <c r="E39" s="99">
        <v>26.583400000000001</v>
      </c>
      <c r="F39" s="105">
        <f t="shared" si="26"/>
        <v>23</v>
      </c>
      <c r="G39" s="105">
        <f t="shared" si="26"/>
        <v>42</v>
      </c>
      <c r="H39" s="105">
        <v>30</v>
      </c>
      <c r="I39" s="105">
        <f t="shared" si="27"/>
        <v>45</v>
      </c>
      <c r="J39" s="105">
        <f t="shared" si="27"/>
        <v>60</v>
      </c>
      <c r="K39" s="104">
        <f t="shared" si="28"/>
        <v>37.7639</v>
      </c>
      <c r="L39" s="104">
        <f t="shared" si="29"/>
        <v>36</v>
      </c>
      <c r="M39" s="104">
        <f t="shared" si="30"/>
        <v>13.914052582191859</v>
      </c>
      <c r="N39" s="111">
        <f t="shared" si="31"/>
        <v>0.3684485072302347</v>
      </c>
      <c r="O39" s="104">
        <f t="shared" si="32"/>
        <v>36</v>
      </c>
      <c r="P39" s="104">
        <f t="shared" si="33"/>
        <v>72</v>
      </c>
    </row>
    <row r="40" spans="1:16" x14ac:dyDescent="0.25">
      <c r="A40" s="98">
        <v>4</v>
      </c>
      <c r="B40" s="100" t="s">
        <v>245</v>
      </c>
      <c r="C40" s="139">
        <f t="shared" si="25"/>
        <v>1</v>
      </c>
      <c r="D40" s="98">
        <v>2</v>
      </c>
      <c r="E40" s="99">
        <v>7.5126999999999997</v>
      </c>
      <c r="F40" s="105">
        <v>6.58</v>
      </c>
      <c r="G40" s="105">
        <f t="shared" ref="G40:G41" si="34">G31</f>
        <v>3</v>
      </c>
      <c r="H40" s="105">
        <f>H31</f>
        <v>9</v>
      </c>
      <c r="I40" s="105">
        <f t="shared" si="27"/>
        <v>3</v>
      </c>
      <c r="J40" s="105">
        <f t="shared" si="27"/>
        <v>4</v>
      </c>
      <c r="K40" s="104">
        <f t="shared" si="28"/>
        <v>5.5154500000000004</v>
      </c>
      <c r="L40" s="104">
        <f t="shared" si="29"/>
        <v>5.29</v>
      </c>
      <c r="M40" s="104">
        <f t="shared" si="30"/>
        <v>2.5383431239688612</v>
      </c>
      <c r="N40" s="111">
        <f t="shared" si="31"/>
        <v>0.46022412023839598</v>
      </c>
      <c r="O40" s="104">
        <f t="shared" si="32"/>
        <v>5.29</v>
      </c>
      <c r="P40" s="104">
        <f t="shared" si="33"/>
        <v>10.58</v>
      </c>
    </row>
    <row r="41" spans="1:16" ht="31.5" x14ac:dyDescent="0.25">
      <c r="A41" s="98">
        <v>5</v>
      </c>
      <c r="B41" s="100" t="str">
        <f>B32</f>
        <v>crachá de identificação do funcionário, confeccionado em material resistente, com cordão.</v>
      </c>
      <c r="C41" s="139">
        <f t="shared" si="25"/>
        <v>1</v>
      </c>
      <c r="D41" s="98">
        <v>2</v>
      </c>
      <c r="E41" s="99"/>
      <c r="F41" s="105">
        <v>8.9</v>
      </c>
      <c r="G41" s="105">
        <f t="shared" si="34"/>
        <v>2</v>
      </c>
      <c r="H41" s="105">
        <f>H32</f>
        <v>6</v>
      </c>
      <c r="I41" s="105">
        <f t="shared" si="27"/>
        <v>3</v>
      </c>
      <c r="J41" s="105">
        <f t="shared" si="27"/>
        <v>7</v>
      </c>
      <c r="K41" s="104">
        <f t="shared" si="28"/>
        <v>5.38</v>
      </c>
      <c r="L41" s="104">
        <f t="shared" si="29"/>
        <v>6</v>
      </c>
      <c r="M41" s="104">
        <f t="shared" si="30"/>
        <v>2.8499122793517708</v>
      </c>
      <c r="N41" s="111">
        <f t="shared" si="31"/>
        <v>0.52972347199847047</v>
      </c>
      <c r="O41" s="104">
        <f t="shared" si="32"/>
        <v>6</v>
      </c>
      <c r="P41" s="104">
        <f t="shared" si="33"/>
        <v>12</v>
      </c>
    </row>
    <row r="42" spans="1:16" ht="16.5" x14ac:dyDescent="0.25">
      <c r="A42" s="268" t="s">
        <v>251</v>
      </c>
      <c r="B42" s="269"/>
      <c r="C42" s="269"/>
      <c r="D42" s="269"/>
      <c r="E42" s="269"/>
      <c r="F42" s="269"/>
      <c r="G42" s="269"/>
      <c r="H42" s="269"/>
      <c r="I42" s="269"/>
      <c r="J42" s="269"/>
      <c r="K42" s="269"/>
      <c r="L42" s="269"/>
      <c r="M42" s="269"/>
      <c r="N42" s="269"/>
      <c r="O42" s="270"/>
      <c r="P42" s="118">
        <f>SUM(P37:P41)</f>
        <v>294.36259999999999</v>
      </c>
    </row>
    <row r="43" spans="1:16" ht="16.5" x14ac:dyDescent="0.25">
      <c r="A43" s="268" t="s">
        <v>229</v>
      </c>
      <c r="B43" s="269"/>
      <c r="C43" s="269"/>
      <c r="D43" s="269"/>
      <c r="E43" s="269"/>
      <c r="F43" s="269"/>
      <c r="G43" s="269"/>
      <c r="H43" s="269"/>
      <c r="I43" s="269"/>
      <c r="J43" s="269"/>
      <c r="K43" s="269"/>
      <c r="L43" s="269"/>
      <c r="M43" s="269"/>
      <c r="N43" s="269"/>
      <c r="O43" s="270"/>
      <c r="P43" s="118">
        <f>P42/12</f>
        <v>24.530216666666664</v>
      </c>
    </row>
    <row r="44" spans="1:16" ht="16.5" x14ac:dyDescent="0.3">
      <c r="A44" s="278"/>
      <c r="B44" s="278"/>
      <c r="C44" s="278"/>
      <c r="D44" s="278"/>
      <c r="E44" s="278"/>
      <c r="F44" s="278"/>
      <c r="G44" s="117"/>
      <c r="H44" s="117"/>
      <c r="I44" s="117"/>
      <c r="J44" s="117"/>
      <c r="K44" s="117"/>
      <c r="L44" s="117"/>
      <c r="M44" s="117"/>
      <c r="N44" s="117"/>
      <c r="O44" s="117"/>
      <c r="P44" s="117"/>
    </row>
    <row r="45" spans="1:16" ht="16.5" x14ac:dyDescent="0.25">
      <c r="A45" s="268" t="s">
        <v>252</v>
      </c>
      <c r="B45" s="269"/>
      <c r="C45" s="269"/>
      <c r="D45" s="269"/>
      <c r="E45" s="269"/>
      <c r="F45" s="269"/>
      <c r="G45" s="269"/>
      <c r="H45" s="269"/>
      <c r="I45" s="269"/>
      <c r="J45" s="269"/>
      <c r="K45" s="269"/>
      <c r="L45" s="269"/>
      <c r="M45" s="269"/>
      <c r="N45" s="269"/>
      <c r="O45" s="270"/>
      <c r="P45" s="118">
        <f>(P34+P43)/2</f>
        <v>24.530216666666664</v>
      </c>
    </row>
    <row r="46" spans="1:16" x14ac:dyDescent="0.25">
      <c r="A46" s="106"/>
      <c r="B46" s="106"/>
      <c r="C46" s="106"/>
      <c r="D46" s="106"/>
      <c r="E46" s="106"/>
      <c r="F46" s="106"/>
      <c r="G46" s="101"/>
      <c r="H46" s="101"/>
      <c r="I46" s="101"/>
      <c r="J46" s="101"/>
      <c r="K46" s="101"/>
      <c r="L46" s="101"/>
      <c r="M46" s="101"/>
      <c r="N46" s="101"/>
      <c r="O46" s="101"/>
      <c r="P46" s="101"/>
    </row>
    <row r="47" spans="1:16" ht="37.5" customHeight="1" x14ac:dyDescent="0.25">
      <c r="A47" s="265" t="s">
        <v>257</v>
      </c>
      <c r="B47" s="266"/>
      <c r="C47" s="266"/>
      <c r="D47" s="266"/>
      <c r="E47" s="266"/>
      <c r="F47" s="266"/>
      <c r="G47" s="266"/>
      <c r="H47" s="266"/>
      <c r="I47" s="266"/>
      <c r="J47" s="266"/>
      <c r="K47" s="266"/>
      <c r="L47" s="266"/>
      <c r="M47" s="266"/>
      <c r="N47" s="266"/>
      <c r="O47" s="267"/>
    </row>
    <row r="48" spans="1:16" ht="273.75" customHeight="1" x14ac:dyDescent="0.25">
      <c r="A48" s="114" t="s">
        <v>83</v>
      </c>
      <c r="B48" s="114" t="s">
        <v>238</v>
      </c>
      <c r="C48" s="114" t="s">
        <v>285</v>
      </c>
      <c r="D48" s="114" t="s">
        <v>239</v>
      </c>
      <c r="E48" s="114" t="s">
        <v>264</v>
      </c>
      <c r="F48" s="114" t="s">
        <v>265</v>
      </c>
      <c r="G48" s="114" t="s">
        <v>268</v>
      </c>
      <c r="H48" s="114" t="s">
        <v>281</v>
      </c>
      <c r="I48" s="114" t="s">
        <v>282</v>
      </c>
      <c r="J48" s="114" t="s">
        <v>283</v>
      </c>
      <c r="K48" s="114" t="str">
        <f t="shared" ref="K48:P48" si="35">K36</f>
        <v>Media</v>
      </c>
      <c r="L48" s="114" t="str">
        <f t="shared" si="35"/>
        <v>Mediana</v>
      </c>
      <c r="M48" s="114" t="str">
        <f t="shared" si="35"/>
        <v xml:space="preserve">Desvio Padrão </v>
      </c>
      <c r="N48" s="114" t="str">
        <f t="shared" si="35"/>
        <v>CV</v>
      </c>
      <c r="O48" s="114" t="str">
        <f t="shared" si="35"/>
        <v>Valor Unitáio Estimado 
(Regra CV≤25%: Média; Caso contrário: Mediana)</v>
      </c>
      <c r="P48" s="114" t="str">
        <f t="shared" si="35"/>
        <v>Total Estimado</v>
      </c>
    </row>
    <row r="49" spans="1:16" ht="30" customHeight="1" x14ac:dyDescent="0.25">
      <c r="A49" s="98">
        <v>1</v>
      </c>
      <c r="B49" s="107" t="s">
        <v>258</v>
      </c>
      <c r="C49" s="140">
        <f>D49/2</f>
        <v>2</v>
      </c>
      <c r="D49" s="98">
        <v>4</v>
      </c>
      <c r="E49" s="99">
        <v>29.935219999999997</v>
      </c>
      <c r="F49" s="105">
        <v>25.9</v>
      </c>
      <c r="G49" s="119"/>
      <c r="H49" s="119"/>
      <c r="I49" s="119"/>
      <c r="J49" s="119">
        <v>175</v>
      </c>
      <c r="K49" s="104">
        <f>AVERAGE(E49:J49)</f>
        <v>76.945073333333326</v>
      </c>
      <c r="L49" s="104">
        <f>MEDIAN(E49:J49)</f>
        <v>29.935219999999997</v>
      </c>
      <c r="M49" s="104">
        <f>_xlfn.STDEV.S(E49:J49)</f>
        <v>84.942022773278325</v>
      </c>
      <c r="N49" s="111">
        <f>M49/K49</f>
        <v>1.1039306234110853</v>
      </c>
      <c r="O49" s="104">
        <f>IF(N49&lt;=25%,K49,L49)</f>
        <v>29.935219999999997</v>
      </c>
      <c r="P49" s="104">
        <f>D49*O49</f>
        <v>119.74087999999999</v>
      </c>
    </row>
    <row r="50" spans="1:16" ht="30" customHeight="1" x14ac:dyDescent="0.25">
      <c r="A50" s="98">
        <v>2</v>
      </c>
      <c r="B50" s="107" t="s">
        <v>259</v>
      </c>
      <c r="C50" s="140">
        <f t="shared" ref="C50:C54" si="36">D50/2</f>
        <v>2</v>
      </c>
      <c r="D50" s="98">
        <v>4</v>
      </c>
      <c r="E50" s="99">
        <v>9.2463999999999995</v>
      </c>
      <c r="F50" s="105">
        <v>8</v>
      </c>
      <c r="G50" s="119"/>
      <c r="H50" s="119">
        <v>30</v>
      </c>
      <c r="I50" s="119">
        <v>20</v>
      </c>
      <c r="J50" s="119">
        <v>85</v>
      </c>
      <c r="K50" s="104">
        <f t="shared" ref="K50:K54" si="37">AVERAGE(E50:J50)</f>
        <v>30.449279999999998</v>
      </c>
      <c r="L50" s="104">
        <f t="shared" ref="L50:L54" si="38">MEDIAN(E50:J50)</f>
        <v>20</v>
      </c>
      <c r="M50" s="104">
        <f t="shared" ref="M50:M54" si="39">_xlfn.STDEV.S(E50:J50)</f>
        <v>31.775393980122416</v>
      </c>
      <c r="N50" s="111">
        <f t="shared" ref="N50:N54" si="40">M50/K50</f>
        <v>1.0435515710099688</v>
      </c>
      <c r="O50" s="104">
        <f t="shared" ref="O50:O54" si="41">IF(N50&lt;=25%,K50,L50)</f>
        <v>20</v>
      </c>
      <c r="P50" s="104">
        <f t="shared" ref="P50:P54" si="42">D50*O50</f>
        <v>80</v>
      </c>
    </row>
    <row r="51" spans="1:16" ht="30" customHeight="1" x14ac:dyDescent="0.25">
      <c r="A51" s="98">
        <v>3</v>
      </c>
      <c r="B51" s="107" t="s">
        <v>244</v>
      </c>
      <c r="C51" s="140">
        <f t="shared" si="36"/>
        <v>1</v>
      </c>
      <c r="D51" s="98">
        <v>2</v>
      </c>
      <c r="E51" s="99">
        <v>26.583400000000001</v>
      </c>
      <c r="F51" s="105">
        <v>23</v>
      </c>
      <c r="G51" s="119">
        <v>45</v>
      </c>
      <c r="H51" s="119"/>
      <c r="I51" s="119">
        <v>40</v>
      </c>
      <c r="J51" s="119">
        <v>110</v>
      </c>
      <c r="K51" s="104">
        <f t="shared" si="37"/>
        <v>48.916679999999999</v>
      </c>
      <c r="L51" s="104">
        <f t="shared" si="38"/>
        <v>40</v>
      </c>
      <c r="M51" s="104">
        <f t="shared" si="39"/>
        <v>35.342853748841506</v>
      </c>
      <c r="N51" s="111">
        <f t="shared" si="40"/>
        <v>0.72251129367000189</v>
      </c>
      <c r="O51" s="104">
        <f t="shared" si="41"/>
        <v>40</v>
      </c>
      <c r="P51" s="104">
        <f t="shared" si="42"/>
        <v>80</v>
      </c>
    </row>
    <row r="52" spans="1:16" ht="30" customHeight="1" x14ac:dyDescent="0.25">
      <c r="A52" s="98">
        <v>4</v>
      </c>
      <c r="B52" s="107" t="s">
        <v>260</v>
      </c>
      <c r="C52" s="140">
        <f t="shared" si="36"/>
        <v>1</v>
      </c>
      <c r="D52" s="98">
        <v>2</v>
      </c>
      <c r="E52" s="99">
        <v>5.2011000000000003</v>
      </c>
      <c r="F52" s="105">
        <v>4.5</v>
      </c>
      <c r="G52" s="119">
        <v>3</v>
      </c>
      <c r="H52" s="119">
        <v>5</v>
      </c>
      <c r="I52" s="119">
        <v>13</v>
      </c>
      <c r="J52" s="119">
        <v>20</v>
      </c>
      <c r="K52" s="104">
        <f t="shared" si="37"/>
        <v>8.4501833333333334</v>
      </c>
      <c r="L52" s="104">
        <f t="shared" si="38"/>
        <v>5.1005500000000001</v>
      </c>
      <c r="M52" s="104">
        <f t="shared" si="39"/>
        <v>6.661348977622076</v>
      </c>
      <c r="N52" s="111">
        <f t="shared" si="40"/>
        <v>0.78830821946136187</v>
      </c>
      <c r="O52" s="104">
        <f t="shared" si="41"/>
        <v>5.1005500000000001</v>
      </c>
      <c r="P52" s="104">
        <f t="shared" si="42"/>
        <v>10.2011</v>
      </c>
    </row>
    <row r="53" spans="1:16" ht="30" customHeight="1" x14ac:dyDescent="0.25">
      <c r="A53" s="98">
        <v>5</v>
      </c>
      <c r="B53" s="107" t="s">
        <v>245</v>
      </c>
      <c r="C53" s="140">
        <f t="shared" si="36"/>
        <v>1</v>
      </c>
      <c r="D53" s="98">
        <v>2</v>
      </c>
      <c r="E53" s="99">
        <v>7.5126999999999997</v>
      </c>
      <c r="F53" s="105">
        <v>6.58</v>
      </c>
      <c r="G53" s="119">
        <v>3</v>
      </c>
      <c r="H53" s="119">
        <v>3.5</v>
      </c>
      <c r="I53" s="119">
        <v>4</v>
      </c>
      <c r="J53" s="119">
        <v>15</v>
      </c>
      <c r="K53" s="104">
        <f t="shared" si="37"/>
        <v>6.5987833333333334</v>
      </c>
      <c r="L53" s="104">
        <f t="shared" si="38"/>
        <v>5.29</v>
      </c>
      <c r="M53" s="104">
        <f t="shared" si="39"/>
        <v>4.4882827987624241</v>
      </c>
      <c r="N53" s="111">
        <f t="shared" si="40"/>
        <v>0.68016823284531103</v>
      </c>
      <c r="O53" s="104">
        <f t="shared" si="41"/>
        <v>5.29</v>
      </c>
      <c r="P53" s="104">
        <f t="shared" si="42"/>
        <v>10.58</v>
      </c>
    </row>
    <row r="54" spans="1:16" ht="30" customHeight="1" x14ac:dyDescent="0.25">
      <c r="A54" s="102">
        <v>7</v>
      </c>
      <c r="B54" s="103" t="str">
        <f>B41</f>
        <v>crachá de identificação do funcionário, confeccionado em material resistente, com cordão.</v>
      </c>
      <c r="C54" s="140">
        <f t="shared" si="36"/>
        <v>1</v>
      </c>
      <c r="D54" s="98">
        <v>2</v>
      </c>
      <c r="E54" s="99"/>
      <c r="F54" s="105">
        <v>8.9</v>
      </c>
      <c r="G54" s="119">
        <v>3</v>
      </c>
      <c r="H54" s="119">
        <v>7</v>
      </c>
      <c r="I54" s="119"/>
      <c r="J54" s="119">
        <v>25</v>
      </c>
      <c r="K54" s="104">
        <f t="shared" si="37"/>
        <v>10.975</v>
      </c>
      <c r="L54" s="104">
        <f t="shared" si="38"/>
        <v>7.95</v>
      </c>
      <c r="M54" s="104">
        <f t="shared" si="39"/>
        <v>9.6679453177325474</v>
      </c>
      <c r="N54" s="111">
        <f t="shared" si="40"/>
        <v>0.88090617929225945</v>
      </c>
      <c r="O54" s="104">
        <f t="shared" si="41"/>
        <v>7.95</v>
      </c>
      <c r="P54" s="104">
        <f t="shared" si="42"/>
        <v>15.9</v>
      </c>
    </row>
    <row r="55" spans="1:16" ht="16.5" x14ac:dyDescent="0.25">
      <c r="A55" s="283" t="s">
        <v>246</v>
      </c>
      <c r="B55" s="284"/>
      <c r="C55" s="284"/>
      <c r="D55" s="284"/>
      <c r="E55" s="284"/>
      <c r="F55" s="284"/>
      <c r="G55" s="284"/>
      <c r="H55" s="284"/>
      <c r="I55" s="284"/>
      <c r="J55" s="284"/>
      <c r="K55" s="284"/>
      <c r="L55" s="284"/>
      <c r="M55" s="284"/>
      <c r="N55" s="284"/>
      <c r="O55" s="285"/>
      <c r="P55" s="123">
        <f>SUM(P49:P54)</f>
        <v>316.42197999999996</v>
      </c>
    </row>
    <row r="56" spans="1:16" ht="16.5" x14ac:dyDescent="0.25">
      <c r="A56" s="286" t="s">
        <v>229</v>
      </c>
      <c r="B56" s="287"/>
      <c r="C56" s="287"/>
      <c r="D56" s="287"/>
      <c r="E56" s="287"/>
      <c r="F56" s="287"/>
      <c r="G56" s="287"/>
      <c r="H56" s="287"/>
      <c r="I56" s="287"/>
      <c r="J56" s="287"/>
      <c r="K56" s="287"/>
      <c r="L56" s="287"/>
      <c r="M56" s="287"/>
      <c r="N56" s="287"/>
      <c r="O56" s="288"/>
      <c r="P56" s="123">
        <f>P55/12</f>
        <v>26.368498333333331</v>
      </c>
    </row>
    <row r="57" spans="1:16" x14ac:dyDescent="0.25">
      <c r="A57" s="277"/>
      <c r="B57" s="277"/>
      <c r="C57" s="277"/>
      <c r="D57" s="277"/>
      <c r="E57" s="277"/>
      <c r="F57" s="277"/>
      <c r="G57" s="101"/>
      <c r="H57" s="101"/>
      <c r="I57" s="101"/>
      <c r="J57" s="101"/>
      <c r="K57" s="101"/>
      <c r="L57" s="101"/>
      <c r="M57" s="101"/>
      <c r="N57" s="101"/>
      <c r="O57" s="101"/>
    </row>
    <row r="58" spans="1:16" ht="299.25" customHeight="1" x14ac:dyDescent="0.25">
      <c r="A58" s="114" t="s">
        <v>83</v>
      </c>
      <c r="B58" s="114" t="s">
        <v>247</v>
      </c>
      <c r="C58" s="114" t="s">
        <v>285</v>
      </c>
      <c r="D58" s="114" t="s">
        <v>239</v>
      </c>
      <c r="E58" s="114" t="s">
        <v>264</v>
      </c>
      <c r="F58" s="114" t="s">
        <v>265</v>
      </c>
      <c r="G58" s="114" t="s">
        <v>268</v>
      </c>
      <c r="H58" s="114" t="s">
        <v>281</v>
      </c>
      <c r="I58" s="114" t="s">
        <v>282</v>
      </c>
      <c r="J58" s="114" t="s">
        <v>283</v>
      </c>
      <c r="K58" s="114" t="str">
        <f t="shared" ref="K58:P58" si="43">K48</f>
        <v>Media</v>
      </c>
      <c r="L58" s="114" t="str">
        <f t="shared" si="43"/>
        <v>Mediana</v>
      </c>
      <c r="M58" s="114" t="str">
        <f t="shared" si="43"/>
        <v xml:space="preserve">Desvio Padrão </v>
      </c>
      <c r="N58" s="114" t="str">
        <f t="shared" si="43"/>
        <v>CV</v>
      </c>
      <c r="O58" s="114" t="str">
        <f t="shared" si="43"/>
        <v>Valor Unitáio Estimado 
(Regra CV≤25%: Média; Caso contrário: Mediana)</v>
      </c>
      <c r="P58" s="114" t="str">
        <f t="shared" si="43"/>
        <v>Total Estimado</v>
      </c>
    </row>
    <row r="59" spans="1:16" ht="47.25" x14ac:dyDescent="0.25">
      <c r="A59" s="98">
        <v>1</v>
      </c>
      <c r="B59" s="100" t="s">
        <v>261</v>
      </c>
      <c r="C59" s="139">
        <f>D59/2</f>
        <v>2</v>
      </c>
      <c r="D59" s="98">
        <v>4</v>
      </c>
      <c r="E59" s="99">
        <v>23.693899999999999</v>
      </c>
      <c r="F59" s="110">
        <v>20.5</v>
      </c>
      <c r="G59" s="99">
        <v>30</v>
      </c>
      <c r="H59" s="99">
        <v>45</v>
      </c>
      <c r="I59" s="99">
        <v>65</v>
      </c>
      <c r="J59" s="99">
        <v>175</v>
      </c>
      <c r="K59" s="104">
        <f>AVERAGE(E59:J59)</f>
        <v>59.865649999999995</v>
      </c>
      <c r="L59" s="104">
        <f>MEDIAN(E59:J59)</f>
        <v>37.5</v>
      </c>
      <c r="M59" s="104">
        <f>_xlfn.STDEV.S(E59:J59)</f>
        <v>58.742275403111513</v>
      </c>
      <c r="N59" s="111">
        <f>M59/K59</f>
        <v>0.98123507225114093</v>
      </c>
      <c r="O59" s="104">
        <f>IF(N59&lt;=25%,K59,L59)</f>
        <v>37.5</v>
      </c>
      <c r="P59" s="104">
        <f>D59*O59</f>
        <v>150</v>
      </c>
    </row>
    <row r="60" spans="1:16" ht="31.5" x14ac:dyDescent="0.25">
      <c r="A60" s="98">
        <v>2</v>
      </c>
      <c r="B60" s="100" t="s">
        <v>262</v>
      </c>
      <c r="C60" s="139">
        <f t="shared" ref="C60:C64" si="44">D60/2</f>
        <v>2</v>
      </c>
      <c r="D60" s="98">
        <v>4</v>
      </c>
      <c r="E60" s="99">
        <v>19.301859999999998</v>
      </c>
      <c r="F60" s="110">
        <v>16.7</v>
      </c>
      <c r="G60" s="99">
        <v>28</v>
      </c>
      <c r="H60" s="99">
        <v>35</v>
      </c>
      <c r="I60" s="99">
        <v>45</v>
      </c>
      <c r="J60" s="99">
        <v>125</v>
      </c>
      <c r="K60" s="104">
        <f t="shared" ref="K60:K64" si="45">AVERAGE(E60:J60)</f>
        <v>44.833643333333328</v>
      </c>
      <c r="L60" s="104">
        <f t="shared" ref="L60:L64" si="46">MEDIAN(E60:J60)</f>
        <v>31.5</v>
      </c>
      <c r="M60" s="104">
        <f t="shared" ref="M60:M64" si="47">_xlfn.STDEV.S(E60:J60)</f>
        <v>40.620483385150244</v>
      </c>
      <c r="N60" s="111">
        <f t="shared" ref="N60:N64" si="48">M60/K60</f>
        <v>0.90602682193685014</v>
      </c>
      <c r="O60" s="104">
        <f t="shared" ref="O60:O64" si="49">IF(N60&lt;=25%,K60,L60)</f>
        <v>31.5</v>
      </c>
      <c r="P60" s="104">
        <f t="shared" ref="P60:P64" si="50">D60*O60</f>
        <v>126</v>
      </c>
    </row>
    <row r="61" spans="1:16" x14ac:dyDescent="0.25">
      <c r="A61" s="98">
        <v>3</v>
      </c>
      <c r="B61" s="100" t="s">
        <v>256</v>
      </c>
      <c r="C61" s="139">
        <f t="shared" si="44"/>
        <v>1</v>
      </c>
      <c r="D61" s="98">
        <v>2</v>
      </c>
      <c r="E61" s="99">
        <v>26.583400000000001</v>
      </c>
      <c r="F61" s="105">
        <v>23</v>
      </c>
      <c r="G61" s="99">
        <v>45</v>
      </c>
      <c r="H61" s="99">
        <v>70</v>
      </c>
      <c r="I61" s="99">
        <v>40</v>
      </c>
      <c r="J61" s="99">
        <v>110</v>
      </c>
      <c r="K61" s="104">
        <f t="shared" si="45"/>
        <v>52.430566666666664</v>
      </c>
      <c r="L61" s="104">
        <f t="shared" si="46"/>
        <v>42.5</v>
      </c>
      <c r="M61" s="104">
        <f t="shared" si="47"/>
        <v>32.762451769162006</v>
      </c>
      <c r="N61" s="111">
        <f t="shared" si="48"/>
        <v>0.62487311986256122</v>
      </c>
      <c r="O61" s="104">
        <f t="shared" si="49"/>
        <v>42.5</v>
      </c>
      <c r="P61" s="104">
        <f t="shared" si="50"/>
        <v>85</v>
      </c>
    </row>
    <row r="62" spans="1:16" ht="31.5" x14ac:dyDescent="0.25">
      <c r="A62" s="98">
        <v>4</v>
      </c>
      <c r="B62" s="100" t="s">
        <v>260</v>
      </c>
      <c r="C62" s="139">
        <f t="shared" si="44"/>
        <v>1</v>
      </c>
      <c r="D62" s="98">
        <v>2</v>
      </c>
      <c r="E62" s="99">
        <v>5.2011000000000003</v>
      </c>
      <c r="F62" s="105">
        <v>4.5</v>
      </c>
      <c r="G62" s="99">
        <v>3</v>
      </c>
      <c r="H62" s="99">
        <v>5</v>
      </c>
      <c r="I62" s="99">
        <v>13</v>
      </c>
      <c r="J62" s="99">
        <v>20</v>
      </c>
      <c r="K62" s="104">
        <f t="shared" si="45"/>
        <v>8.4501833333333334</v>
      </c>
      <c r="L62" s="104">
        <f t="shared" si="46"/>
        <v>5.1005500000000001</v>
      </c>
      <c r="M62" s="104">
        <f t="shared" si="47"/>
        <v>6.661348977622076</v>
      </c>
      <c r="N62" s="111">
        <f t="shared" si="48"/>
        <v>0.78830821946136187</v>
      </c>
      <c r="O62" s="104">
        <f t="shared" si="49"/>
        <v>5.1005500000000001</v>
      </c>
      <c r="P62" s="104">
        <f t="shared" si="50"/>
        <v>10.2011</v>
      </c>
    </row>
    <row r="63" spans="1:16" x14ac:dyDescent="0.25">
      <c r="A63" s="98">
        <v>4</v>
      </c>
      <c r="B63" s="100" t="s">
        <v>245</v>
      </c>
      <c r="C63" s="139">
        <f t="shared" si="44"/>
        <v>1</v>
      </c>
      <c r="D63" s="98">
        <v>2</v>
      </c>
      <c r="E63" s="99">
        <v>7.5126999999999997</v>
      </c>
      <c r="F63" s="105">
        <v>6.58</v>
      </c>
      <c r="G63" s="99">
        <v>3</v>
      </c>
      <c r="H63" s="99">
        <v>3.5</v>
      </c>
      <c r="I63" s="99">
        <v>4</v>
      </c>
      <c r="J63" s="99">
        <v>15</v>
      </c>
      <c r="K63" s="104">
        <f t="shared" si="45"/>
        <v>6.5987833333333334</v>
      </c>
      <c r="L63" s="104">
        <f t="shared" si="46"/>
        <v>5.29</v>
      </c>
      <c r="M63" s="104">
        <f t="shared" si="47"/>
        <v>4.4882827987624241</v>
      </c>
      <c r="N63" s="111">
        <f t="shared" si="48"/>
        <v>0.68016823284531103</v>
      </c>
      <c r="O63" s="104">
        <f t="shared" si="49"/>
        <v>5.29</v>
      </c>
      <c r="P63" s="104">
        <f t="shared" si="50"/>
        <v>10.58</v>
      </c>
    </row>
    <row r="64" spans="1:16" ht="31.5" x14ac:dyDescent="0.25">
      <c r="A64" s="98">
        <v>5</v>
      </c>
      <c r="B64" s="100" t="str">
        <f>B54</f>
        <v>crachá de identificação do funcionário, confeccionado em material resistente, com cordão.</v>
      </c>
      <c r="C64" s="139">
        <f t="shared" si="44"/>
        <v>1</v>
      </c>
      <c r="D64" s="98">
        <v>2</v>
      </c>
      <c r="E64" s="99"/>
      <c r="F64" s="105">
        <f>F54</f>
        <v>8.9</v>
      </c>
      <c r="G64" s="99">
        <v>3</v>
      </c>
      <c r="H64" s="99">
        <v>7</v>
      </c>
      <c r="I64" s="99"/>
      <c r="J64" s="99">
        <v>25</v>
      </c>
      <c r="K64" s="104">
        <f t="shared" si="45"/>
        <v>10.975</v>
      </c>
      <c r="L64" s="104">
        <f t="shared" si="46"/>
        <v>7.95</v>
      </c>
      <c r="M64" s="104">
        <f t="shared" si="47"/>
        <v>9.6679453177325474</v>
      </c>
      <c r="N64" s="111">
        <f t="shared" si="48"/>
        <v>0.88090617929225945</v>
      </c>
      <c r="O64" s="104">
        <f t="shared" si="49"/>
        <v>7.95</v>
      </c>
      <c r="P64" s="104">
        <f t="shared" si="50"/>
        <v>15.9</v>
      </c>
    </row>
    <row r="65" spans="1:16" ht="16.5" x14ac:dyDescent="0.25">
      <c r="A65" s="289" t="s">
        <v>251</v>
      </c>
      <c r="B65" s="289"/>
      <c r="C65" s="289"/>
      <c r="D65" s="289"/>
      <c r="E65" s="289"/>
      <c r="F65" s="289"/>
      <c r="G65" s="289"/>
      <c r="H65" s="289"/>
      <c r="I65" s="289"/>
      <c r="J65" s="289"/>
      <c r="K65" s="289"/>
      <c r="L65" s="289"/>
      <c r="M65" s="289"/>
      <c r="N65" s="289"/>
      <c r="O65" s="289"/>
      <c r="P65" s="121">
        <f>SUM(P59:P64)</f>
        <v>397.68109999999996</v>
      </c>
    </row>
    <row r="66" spans="1:16" ht="16.5" x14ac:dyDescent="0.25">
      <c r="A66" s="268" t="s">
        <v>229</v>
      </c>
      <c r="B66" s="269"/>
      <c r="C66" s="269"/>
      <c r="D66" s="269"/>
      <c r="E66" s="269"/>
      <c r="F66" s="269"/>
      <c r="G66" s="269"/>
      <c r="H66" s="269"/>
      <c r="I66" s="269"/>
      <c r="J66" s="269"/>
      <c r="K66" s="269"/>
      <c r="L66" s="269"/>
      <c r="M66" s="269"/>
      <c r="N66" s="269"/>
      <c r="O66" s="270"/>
      <c r="P66" s="121">
        <f>P65/12</f>
        <v>33.140091666666663</v>
      </c>
    </row>
    <row r="67" spans="1:16" x14ac:dyDescent="0.25">
      <c r="A67" s="277"/>
      <c r="B67" s="277"/>
      <c r="C67" s="277"/>
      <c r="D67" s="277"/>
      <c r="E67" s="277"/>
      <c r="F67" s="277"/>
      <c r="G67" s="101"/>
      <c r="H67" s="101"/>
      <c r="I67" s="101"/>
      <c r="J67" s="101"/>
      <c r="K67" s="101"/>
      <c r="L67" s="101"/>
      <c r="M67" s="101"/>
      <c r="N67" s="101"/>
      <c r="O67" s="101"/>
    </row>
    <row r="68" spans="1:16" ht="16.5" x14ac:dyDescent="0.25">
      <c r="A68" s="289" t="s">
        <v>252</v>
      </c>
      <c r="B68" s="289"/>
      <c r="C68" s="289"/>
      <c r="D68" s="289"/>
      <c r="E68" s="289"/>
      <c r="F68" s="289"/>
      <c r="G68" s="289"/>
      <c r="H68" s="289"/>
      <c r="I68" s="289"/>
      <c r="J68" s="289"/>
      <c r="K68" s="289"/>
      <c r="L68" s="289"/>
      <c r="M68" s="289"/>
      <c r="N68" s="289"/>
      <c r="O68" s="289"/>
      <c r="P68" s="122">
        <f>(P56+P66)/2</f>
        <v>29.754294999999999</v>
      </c>
    </row>
    <row r="69" spans="1:16" x14ac:dyDescent="0.25">
      <c r="A69" s="159"/>
      <c r="B69" s="159"/>
      <c r="C69" s="159"/>
      <c r="D69" s="159"/>
      <c r="E69" s="159"/>
      <c r="F69" s="159"/>
      <c r="G69" s="160"/>
      <c r="H69" s="160"/>
      <c r="I69" s="160"/>
      <c r="J69" s="160"/>
      <c r="K69" s="160"/>
      <c r="L69" s="160"/>
      <c r="M69" s="160"/>
      <c r="N69" s="160"/>
      <c r="O69" s="160"/>
    </row>
    <row r="70" spans="1:16" x14ac:dyDescent="0.25">
      <c r="A70" s="160"/>
      <c r="B70" s="160"/>
      <c r="C70" s="160"/>
      <c r="D70" s="160"/>
      <c r="E70" s="160"/>
      <c r="F70" s="160"/>
      <c r="G70" s="160"/>
      <c r="H70" s="160"/>
      <c r="I70" s="160"/>
      <c r="J70" s="160"/>
      <c r="K70" s="160"/>
      <c r="L70" s="160"/>
      <c r="M70" s="160"/>
      <c r="N70" s="160"/>
      <c r="O70" s="160"/>
    </row>
    <row r="71" spans="1:16" x14ac:dyDescent="0.25">
      <c r="A71" s="160"/>
      <c r="B71" s="160"/>
      <c r="C71" s="160"/>
      <c r="D71" s="160"/>
      <c r="E71" s="160"/>
      <c r="F71" s="160"/>
      <c r="G71" s="160"/>
      <c r="H71" s="160"/>
      <c r="I71" s="160"/>
      <c r="J71" s="160"/>
      <c r="K71" s="160"/>
      <c r="L71" s="160"/>
      <c r="M71" s="160"/>
      <c r="N71" s="160"/>
      <c r="O71" s="160"/>
    </row>
    <row r="72" spans="1:16" ht="28.5" customHeight="1" x14ac:dyDescent="0.25">
      <c r="A72" s="279" t="s">
        <v>234</v>
      </c>
      <c r="B72" s="279"/>
      <c r="C72" s="279"/>
      <c r="D72" s="279"/>
      <c r="E72" s="279"/>
      <c r="F72" s="279"/>
      <c r="G72" s="279"/>
      <c r="H72" s="279"/>
      <c r="I72" s="279"/>
      <c r="J72" s="279"/>
      <c r="K72" s="279"/>
      <c r="L72" s="279"/>
    </row>
    <row r="73" spans="1:16" ht="169.5" customHeight="1" x14ac:dyDescent="0.25">
      <c r="A73" s="114" t="s">
        <v>179</v>
      </c>
      <c r="B73" s="114" t="s">
        <v>103</v>
      </c>
      <c r="C73" s="114" t="s">
        <v>285</v>
      </c>
      <c r="D73" s="114" t="s">
        <v>170</v>
      </c>
      <c r="E73" s="114" t="s">
        <v>274</v>
      </c>
      <c r="F73" s="114" t="s">
        <v>278</v>
      </c>
      <c r="G73" s="114" t="s">
        <v>231</v>
      </c>
      <c r="H73" s="114" t="s">
        <v>223</v>
      </c>
      <c r="I73" s="114" t="s">
        <v>232</v>
      </c>
      <c r="J73" s="114" t="s">
        <v>233</v>
      </c>
      <c r="K73" s="114" t="s">
        <v>235</v>
      </c>
      <c r="L73" s="114" t="s">
        <v>236</v>
      </c>
    </row>
    <row r="74" spans="1:16" ht="30" x14ac:dyDescent="0.25">
      <c r="A74" s="94">
        <v>1</v>
      </c>
      <c r="B74" s="93" t="s">
        <v>172</v>
      </c>
      <c r="C74" s="92">
        <f>D74/2</f>
        <v>1</v>
      </c>
      <c r="D74" s="92">
        <v>2</v>
      </c>
      <c r="E74" s="108">
        <v>8.9</v>
      </c>
      <c r="F74" s="137">
        <v>25</v>
      </c>
      <c r="G74" s="105">
        <f t="shared" ref="G74:G80" si="51">AVERAGE(E74:F74)</f>
        <v>16.95</v>
      </c>
      <c r="H74" s="105">
        <f t="shared" ref="H74:H80" si="52">MEDIAN(E74:F74)</f>
        <v>16.950000000000003</v>
      </c>
      <c r="I74" s="101">
        <f t="shared" ref="I74:I80" si="53">_xlfn.STDEV.S(E74:F74)</f>
        <v>11.384419177103421</v>
      </c>
      <c r="J74" s="138">
        <f>I74/G74</f>
        <v>0.67164714909164724</v>
      </c>
      <c r="K74" s="101">
        <f>IF(J74&lt;=25%,G74,H74)</f>
        <v>16.950000000000003</v>
      </c>
      <c r="L74" s="105">
        <f>D74*K74</f>
        <v>33.900000000000006</v>
      </c>
    </row>
    <row r="75" spans="1:16" x14ac:dyDescent="0.25">
      <c r="A75" s="94">
        <v>2</v>
      </c>
      <c r="B75" s="93" t="s">
        <v>173</v>
      </c>
      <c r="C75" s="92">
        <f t="shared" ref="C75:C80" si="54">D75/2</f>
        <v>2</v>
      </c>
      <c r="D75" s="92">
        <v>4</v>
      </c>
      <c r="E75" s="108">
        <v>20.5</v>
      </c>
      <c r="F75" s="137">
        <v>133.65</v>
      </c>
      <c r="G75" s="105">
        <f t="shared" si="51"/>
        <v>77.075000000000003</v>
      </c>
      <c r="H75" s="105">
        <f t="shared" si="52"/>
        <v>77.075000000000003</v>
      </c>
      <c r="I75" s="101">
        <f t="shared" si="53"/>
        <v>80.009132291257856</v>
      </c>
      <c r="J75" s="138">
        <f t="shared" ref="J75:J80" si="55">I75/G75</f>
        <v>1.0380685344308511</v>
      </c>
      <c r="K75" s="101">
        <f t="shared" ref="K75:K80" si="56">IF(J75&lt;=25%,G75,H75)</f>
        <v>77.075000000000003</v>
      </c>
      <c r="L75" s="105">
        <f t="shared" ref="L75:L80" si="57">D75*K75</f>
        <v>308.3</v>
      </c>
    </row>
    <row r="76" spans="1:16" x14ac:dyDescent="0.25">
      <c r="A76" s="94">
        <v>3</v>
      </c>
      <c r="B76" s="93" t="s">
        <v>174</v>
      </c>
      <c r="C76" s="92">
        <f t="shared" si="54"/>
        <v>2</v>
      </c>
      <c r="D76" s="92">
        <v>4</v>
      </c>
      <c r="E76" s="108">
        <v>16.7</v>
      </c>
      <c r="F76" s="137">
        <v>75</v>
      </c>
      <c r="G76" s="105">
        <f t="shared" si="51"/>
        <v>45.85</v>
      </c>
      <c r="H76" s="105">
        <f t="shared" si="52"/>
        <v>45.849999999999994</v>
      </c>
      <c r="I76" s="101">
        <f t="shared" si="53"/>
        <v>41.224325343175714</v>
      </c>
      <c r="J76" s="138">
        <f t="shared" si="55"/>
        <v>0.89911287553273089</v>
      </c>
      <c r="K76" s="101">
        <f t="shared" si="56"/>
        <v>45.849999999999994</v>
      </c>
      <c r="L76" s="105">
        <f t="shared" si="57"/>
        <v>183.39999999999998</v>
      </c>
    </row>
    <row r="77" spans="1:16" x14ac:dyDescent="0.25">
      <c r="A77" s="94">
        <v>4</v>
      </c>
      <c r="B77" s="93" t="s">
        <v>175</v>
      </c>
      <c r="C77" s="92">
        <f t="shared" si="54"/>
        <v>2</v>
      </c>
      <c r="D77" s="92">
        <v>4</v>
      </c>
      <c r="E77" s="108">
        <v>23</v>
      </c>
      <c r="F77" s="137">
        <v>65</v>
      </c>
      <c r="G77" s="105">
        <f t="shared" si="51"/>
        <v>44</v>
      </c>
      <c r="H77" s="105">
        <f t="shared" si="52"/>
        <v>44</v>
      </c>
      <c r="I77" s="101">
        <f t="shared" si="53"/>
        <v>29.698484809834994</v>
      </c>
      <c r="J77" s="138">
        <f t="shared" si="55"/>
        <v>0.67496556385988626</v>
      </c>
      <c r="K77" s="101">
        <f t="shared" si="56"/>
        <v>44</v>
      </c>
      <c r="L77" s="105">
        <f t="shared" si="57"/>
        <v>176</v>
      </c>
    </row>
    <row r="78" spans="1:16" x14ac:dyDescent="0.25">
      <c r="A78" s="94">
        <v>5</v>
      </c>
      <c r="B78" s="93" t="s">
        <v>176</v>
      </c>
      <c r="C78" s="92">
        <f t="shared" si="54"/>
        <v>2</v>
      </c>
      <c r="D78" s="92">
        <v>4</v>
      </c>
      <c r="E78" s="108">
        <v>6.58</v>
      </c>
      <c r="F78" s="137">
        <v>35</v>
      </c>
      <c r="G78" s="105">
        <f t="shared" si="51"/>
        <v>20.79</v>
      </c>
      <c r="H78" s="105">
        <f t="shared" si="52"/>
        <v>20.79</v>
      </c>
      <c r="I78" s="101">
        <f t="shared" si="53"/>
        <v>20.095974721321681</v>
      </c>
      <c r="J78" s="138">
        <f t="shared" si="55"/>
        <v>0.96661735071292365</v>
      </c>
      <c r="K78" s="101">
        <f t="shared" si="56"/>
        <v>20.79</v>
      </c>
      <c r="L78" s="105">
        <f t="shared" si="57"/>
        <v>83.16</v>
      </c>
    </row>
    <row r="79" spans="1:16" x14ac:dyDescent="0.25">
      <c r="A79" s="94">
        <v>6</v>
      </c>
      <c r="B79" s="93" t="s">
        <v>177</v>
      </c>
      <c r="C79" s="92">
        <f t="shared" si="54"/>
        <v>2</v>
      </c>
      <c r="D79" s="92">
        <v>4</v>
      </c>
      <c r="E79" s="108">
        <v>16.7</v>
      </c>
      <c r="F79" s="137">
        <v>65</v>
      </c>
      <c r="G79" s="105">
        <f t="shared" si="51"/>
        <v>40.85</v>
      </c>
      <c r="H79" s="105">
        <f t="shared" si="52"/>
        <v>40.849999999999994</v>
      </c>
      <c r="I79" s="101">
        <f t="shared" si="53"/>
        <v>34.153257531310246</v>
      </c>
      <c r="J79" s="138">
        <f t="shared" si="55"/>
        <v>0.83606505584602797</v>
      </c>
      <c r="K79" s="101">
        <f t="shared" si="56"/>
        <v>40.849999999999994</v>
      </c>
      <c r="L79" s="105">
        <f t="shared" si="57"/>
        <v>163.39999999999998</v>
      </c>
    </row>
    <row r="80" spans="1:16" x14ac:dyDescent="0.25">
      <c r="A80" s="94">
        <v>7</v>
      </c>
      <c r="B80" s="93" t="s">
        <v>178</v>
      </c>
      <c r="C80" s="92">
        <f t="shared" si="54"/>
        <v>2</v>
      </c>
      <c r="D80" s="92">
        <v>4</v>
      </c>
      <c r="E80" s="109">
        <v>15</v>
      </c>
      <c r="F80" s="137">
        <v>35</v>
      </c>
      <c r="G80" s="105">
        <f t="shared" si="51"/>
        <v>25</v>
      </c>
      <c r="H80" s="105">
        <f t="shared" si="52"/>
        <v>25</v>
      </c>
      <c r="I80" s="101">
        <f t="shared" si="53"/>
        <v>14.142135623730951</v>
      </c>
      <c r="J80" s="138">
        <f t="shared" si="55"/>
        <v>0.56568542494923801</v>
      </c>
      <c r="K80" s="101">
        <f t="shared" si="56"/>
        <v>25</v>
      </c>
      <c r="L80" s="105">
        <f t="shared" si="57"/>
        <v>100</v>
      </c>
    </row>
    <row r="81" spans="1:16" ht="16.5" x14ac:dyDescent="0.25">
      <c r="A81" s="268" t="s">
        <v>230</v>
      </c>
      <c r="B81" s="269"/>
      <c r="C81" s="269"/>
      <c r="D81" s="269"/>
      <c r="E81" s="269"/>
      <c r="F81" s="269"/>
      <c r="G81" s="269"/>
      <c r="H81" s="269"/>
      <c r="I81" s="269"/>
      <c r="J81" s="269"/>
      <c r="K81" s="270"/>
      <c r="L81" s="123">
        <f>SUM(L74:L80)</f>
        <v>1048.1599999999999</v>
      </c>
    </row>
    <row r="82" spans="1:16" ht="16.5" x14ac:dyDescent="0.25">
      <c r="A82" s="268" t="s">
        <v>229</v>
      </c>
      <c r="B82" s="269"/>
      <c r="C82" s="269"/>
      <c r="D82" s="269"/>
      <c r="E82" s="269"/>
      <c r="F82" s="269"/>
      <c r="G82" s="269"/>
      <c r="H82" s="269"/>
      <c r="I82" s="269"/>
      <c r="J82" s="269"/>
      <c r="K82" s="270"/>
      <c r="L82" s="123">
        <f>L81/12</f>
        <v>87.34666666666665</v>
      </c>
    </row>
    <row r="85" spans="1:16" ht="16.5" x14ac:dyDescent="0.25">
      <c r="A85" s="265" t="s">
        <v>306</v>
      </c>
      <c r="B85" s="266"/>
      <c r="C85" s="266"/>
      <c r="D85" s="266"/>
      <c r="E85" s="266"/>
      <c r="F85" s="266"/>
      <c r="G85" s="266"/>
      <c r="H85" s="266"/>
      <c r="I85" s="266"/>
      <c r="J85" s="266"/>
      <c r="K85" s="266"/>
      <c r="L85" s="267"/>
    </row>
    <row r="86" spans="1:16" ht="236.25" x14ac:dyDescent="0.25">
      <c r="A86" s="114" t="s">
        <v>83</v>
      </c>
      <c r="B86" s="114" t="s">
        <v>84</v>
      </c>
      <c r="C86" s="114" t="str">
        <f>C73</f>
        <v>QTDE (6 MESES)</v>
      </c>
      <c r="D86" s="114" t="s">
        <v>302</v>
      </c>
      <c r="E86" s="114" t="s">
        <v>308</v>
      </c>
      <c r="F86" s="114" t="s">
        <v>312</v>
      </c>
      <c r="G86" s="114" t="s">
        <v>313</v>
      </c>
      <c r="H86" s="114" t="s">
        <v>314</v>
      </c>
      <c r="I86" s="114" t="s">
        <v>315</v>
      </c>
      <c r="J86" s="114" t="s">
        <v>284</v>
      </c>
      <c r="K86" s="114" t="s">
        <v>231</v>
      </c>
      <c r="L86" s="114" t="s">
        <v>223</v>
      </c>
      <c r="M86" s="114" t="s">
        <v>232</v>
      </c>
      <c r="N86" s="114" t="s">
        <v>233</v>
      </c>
      <c r="O86" s="114" t="s">
        <v>235</v>
      </c>
      <c r="P86" s="114" t="s">
        <v>236</v>
      </c>
    </row>
    <row r="87" spans="1:16" x14ac:dyDescent="0.25">
      <c r="A87" s="94">
        <v>1</v>
      </c>
      <c r="B87" s="93" t="s">
        <v>303</v>
      </c>
      <c r="C87" s="92">
        <f>D87/2</f>
        <v>2</v>
      </c>
      <c r="D87" s="92">
        <v>4</v>
      </c>
      <c r="E87" s="108">
        <v>46.3</v>
      </c>
      <c r="F87" s="137">
        <v>48.81</v>
      </c>
      <c r="G87" s="156">
        <v>73.33</v>
      </c>
      <c r="H87" s="110"/>
      <c r="I87" s="137"/>
      <c r="J87" s="101"/>
      <c r="K87" s="105">
        <f>AVERAGE(E87:J87)</f>
        <v>56.146666666666668</v>
      </c>
      <c r="L87" s="105">
        <f>MEDIAN(E87:J87)</f>
        <v>48.81</v>
      </c>
      <c r="M87" s="110">
        <f>_xlfn.STDEV.S(E87:J87)</f>
        <v>14.934029373659801</v>
      </c>
      <c r="N87" s="158">
        <f>M87/K87</f>
        <v>0.26598247518985635</v>
      </c>
      <c r="O87" s="101">
        <f>IF(N87&lt;=25%,K87,L87)</f>
        <v>48.81</v>
      </c>
      <c r="P87" s="101">
        <f>D87*O87</f>
        <v>195.24</v>
      </c>
    </row>
    <row r="88" spans="1:16" x14ac:dyDescent="0.25">
      <c r="A88" s="94">
        <v>2</v>
      </c>
      <c r="B88" s="93" t="s">
        <v>304</v>
      </c>
      <c r="C88" s="92">
        <f t="shared" ref="C88:C90" si="58">D88/2</f>
        <v>2</v>
      </c>
      <c r="D88" s="92">
        <v>4</v>
      </c>
      <c r="E88" s="108">
        <v>35.6</v>
      </c>
      <c r="F88" s="137">
        <v>23.47</v>
      </c>
      <c r="G88" s="156">
        <v>72.849999999999994</v>
      </c>
      <c r="H88" s="110"/>
      <c r="I88" s="137"/>
      <c r="J88" s="101"/>
      <c r="K88" s="105">
        <f t="shared" ref="K88:K91" si="59">AVERAGE(E88:J88)</f>
        <v>43.973333333333329</v>
      </c>
      <c r="L88" s="105">
        <f t="shared" ref="L88:L91" si="60">MEDIAN(E88:J88)</f>
        <v>35.6</v>
      </c>
      <c r="M88" s="110">
        <f t="shared" ref="M88:M91" si="61">_xlfn.STDEV.S(E88:J88)</f>
        <v>25.732870678051718</v>
      </c>
      <c r="N88" s="158">
        <f t="shared" ref="N88:N91" si="62">M88/K88</f>
        <v>0.58519263215702821</v>
      </c>
      <c r="O88" s="101">
        <f t="shared" ref="O88:O91" si="63">IF(N88&lt;=25%,K88,L88)</f>
        <v>35.6</v>
      </c>
      <c r="P88" s="101">
        <f t="shared" ref="P88:P91" si="64">D88*O88</f>
        <v>142.4</v>
      </c>
    </row>
    <row r="89" spans="1:16" x14ac:dyDescent="0.25">
      <c r="A89" s="94">
        <v>3</v>
      </c>
      <c r="B89" s="93" t="s">
        <v>311</v>
      </c>
      <c r="C89" s="92">
        <f t="shared" si="58"/>
        <v>1</v>
      </c>
      <c r="D89" s="92">
        <v>2</v>
      </c>
      <c r="E89" s="108">
        <v>85.08</v>
      </c>
      <c r="F89" s="137">
        <v>42.69</v>
      </c>
      <c r="G89" s="156">
        <v>85.57</v>
      </c>
      <c r="H89" s="105"/>
      <c r="I89" s="137"/>
      <c r="J89" s="101"/>
      <c r="K89" s="105">
        <f t="shared" si="59"/>
        <v>71.11333333333333</v>
      </c>
      <c r="L89" s="105">
        <f t="shared" si="60"/>
        <v>85.08</v>
      </c>
      <c r="M89" s="110">
        <f t="shared" si="61"/>
        <v>24.616547957285455</v>
      </c>
      <c r="N89" s="158">
        <f t="shared" si="62"/>
        <v>0.34615938816844649</v>
      </c>
      <c r="O89" s="101">
        <f t="shared" si="63"/>
        <v>85.08</v>
      </c>
      <c r="P89" s="101">
        <f t="shared" si="64"/>
        <v>170.16</v>
      </c>
    </row>
    <row r="90" spans="1:16" x14ac:dyDescent="0.25">
      <c r="A90" s="94">
        <v>4</v>
      </c>
      <c r="B90" s="93" t="s">
        <v>305</v>
      </c>
      <c r="C90" s="92">
        <f t="shared" si="58"/>
        <v>6</v>
      </c>
      <c r="D90" s="92">
        <v>12</v>
      </c>
      <c r="E90" s="108">
        <v>9</v>
      </c>
      <c r="F90" s="137">
        <v>3.71</v>
      </c>
      <c r="G90" s="156">
        <v>19.77</v>
      </c>
      <c r="H90" s="105"/>
      <c r="I90" s="137"/>
      <c r="J90" s="101"/>
      <c r="K90" s="105">
        <f t="shared" si="59"/>
        <v>10.826666666666668</v>
      </c>
      <c r="L90" s="105">
        <f t="shared" si="60"/>
        <v>9</v>
      </c>
      <c r="M90" s="110">
        <f t="shared" si="61"/>
        <v>8.18434073907809</v>
      </c>
      <c r="N90" s="158">
        <f t="shared" si="62"/>
        <v>0.75594280225474964</v>
      </c>
      <c r="O90" s="101">
        <f t="shared" si="63"/>
        <v>9</v>
      </c>
      <c r="P90" s="101">
        <f t="shared" si="64"/>
        <v>108</v>
      </c>
    </row>
    <row r="91" spans="1:16" ht="30" x14ac:dyDescent="0.25">
      <c r="A91" s="94">
        <v>5</v>
      </c>
      <c r="B91" s="93" t="str">
        <f>B64</f>
        <v>crachá de identificação do funcionário, confeccionado em material resistente, com cordão.</v>
      </c>
      <c r="C91" s="155">
        <v>1</v>
      </c>
      <c r="D91" s="155">
        <v>2</v>
      </c>
      <c r="E91" s="101"/>
      <c r="F91" s="101"/>
      <c r="G91" s="101">
        <v>23.33</v>
      </c>
      <c r="H91" s="105">
        <v>8.89</v>
      </c>
      <c r="I91" s="137">
        <v>25</v>
      </c>
      <c r="J91" s="110">
        <v>7</v>
      </c>
      <c r="K91" s="105">
        <f t="shared" si="59"/>
        <v>16.055</v>
      </c>
      <c r="L91" s="105">
        <f t="shared" si="60"/>
        <v>16.11</v>
      </c>
      <c r="M91" s="110">
        <f t="shared" si="61"/>
        <v>9.4210562040569528</v>
      </c>
      <c r="N91" s="158">
        <f t="shared" si="62"/>
        <v>0.58679889156380893</v>
      </c>
      <c r="O91" s="101">
        <f t="shared" si="63"/>
        <v>16.11</v>
      </c>
      <c r="P91" s="101">
        <f t="shared" si="64"/>
        <v>32.22</v>
      </c>
    </row>
    <row r="92" spans="1:16" ht="16.5" x14ac:dyDescent="0.25">
      <c r="A92" s="268" t="s">
        <v>230</v>
      </c>
      <c r="B92" s="269"/>
      <c r="C92" s="269"/>
      <c r="D92" s="269"/>
      <c r="E92" s="269"/>
      <c r="F92" s="269"/>
      <c r="G92" s="269"/>
      <c r="H92" s="269"/>
      <c r="I92" s="269"/>
      <c r="J92" s="269"/>
      <c r="K92" s="269"/>
      <c r="L92" s="269"/>
      <c r="M92" s="269"/>
      <c r="N92" s="269"/>
      <c r="O92" s="270"/>
      <c r="P92" s="123">
        <f>SUM(P87:P91)</f>
        <v>648.02</v>
      </c>
    </row>
    <row r="93" spans="1:16" ht="16.5" x14ac:dyDescent="0.25">
      <c r="A93" s="268" t="s">
        <v>229</v>
      </c>
      <c r="B93" s="269"/>
      <c r="C93" s="269"/>
      <c r="D93" s="269"/>
      <c r="E93" s="269"/>
      <c r="F93" s="269"/>
      <c r="G93" s="269"/>
      <c r="H93" s="269"/>
      <c r="I93" s="269"/>
      <c r="J93" s="269"/>
      <c r="K93" s="269"/>
      <c r="L93" s="269"/>
      <c r="M93" s="269"/>
      <c r="N93" s="269"/>
      <c r="O93" s="270"/>
      <c r="P93" s="123">
        <f t="shared" ref="P93" si="65">P92/12</f>
        <v>54.001666666666665</v>
      </c>
    </row>
    <row r="100" spans="10:10" x14ac:dyDescent="0.25">
      <c r="J100" s="157"/>
    </row>
  </sheetData>
  <mergeCells count="30">
    <mergeCell ref="A56:O56"/>
    <mergeCell ref="A68:O68"/>
    <mergeCell ref="A81:K81"/>
    <mergeCell ref="A82:K82"/>
    <mergeCell ref="A72:L72"/>
    <mergeCell ref="A57:F57"/>
    <mergeCell ref="A67:F67"/>
    <mergeCell ref="A65:O65"/>
    <mergeCell ref="A66:O66"/>
    <mergeCell ref="A24:O24"/>
    <mergeCell ref="A33:O33"/>
    <mergeCell ref="A34:O34"/>
    <mergeCell ref="A45:O45"/>
    <mergeCell ref="A55:O55"/>
    <mergeCell ref="A85:L85"/>
    <mergeCell ref="A92:O92"/>
    <mergeCell ref="A93:O93"/>
    <mergeCell ref="A1:P2"/>
    <mergeCell ref="A35:F35"/>
    <mergeCell ref="A23:F23"/>
    <mergeCell ref="A44:F44"/>
    <mergeCell ref="A42:O42"/>
    <mergeCell ref="A43:O43"/>
    <mergeCell ref="A47:O47"/>
    <mergeCell ref="A3:P3"/>
    <mergeCell ref="A26:P26"/>
    <mergeCell ref="A12:O12"/>
    <mergeCell ref="A13:O13"/>
    <mergeCell ref="A21:O21"/>
    <mergeCell ref="A22:O22"/>
  </mergeCells>
  <pageMargins left="0.511811024" right="0.511811024" top="0.78740157499999996" bottom="0.78740157499999996" header="0.31496062000000002" footer="0.31496062000000002"/>
  <pageSetup paperSize="9" scale="23" orientation="landscape" r:id="rId1"/>
  <rowBreaks count="2" manualBreakCount="2">
    <brk id="43" max="15" man="1"/>
    <brk id="93" max="15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T15"/>
  <sheetViews>
    <sheetView showGridLines="0" view="pageBreakPreview" zoomScaleNormal="115" zoomScaleSheetLayoutView="100" zoomScalePageLayoutView="40" workbookViewId="0">
      <selection activeCell="B10" sqref="B10:I10"/>
    </sheetView>
  </sheetViews>
  <sheetFormatPr defaultColWidth="8.85546875" defaultRowHeight="15" x14ac:dyDescent="0.25"/>
  <cols>
    <col min="1" max="1" width="6.140625" style="41" customWidth="1"/>
    <col min="2" max="9" width="6.85546875" style="37" customWidth="1"/>
    <col min="10" max="11" width="34.28515625" style="40" customWidth="1"/>
    <col min="12" max="13" width="33" style="40" customWidth="1"/>
    <col min="14" max="14" width="33.42578125" style="37" customWidth="1"/>
    <col min="15" max="15" width="34.28515625" style="37" bestFit="1" customWidth="1"/>
    <col min="16" max="16" width="11.42578125" style="37" customWidth="1"/>
    <col min="17" max="17" width="8.85546875" style="37"/>
    <col min="18" max="18" width="13.7109375" style="37" bestFit="1" customWidth="1"/>
    <col min="19" max="19" width="14.140625" style="37" bestFit="1" customWidth="1"/>
    <col min="20" max="20" width="16.42578125" style="37" customWidth="1"/>
    <col min="21" max="16384" width="8.85546875" style="37"/>
  </cols>
  <sheetData>
    <row r="2" spans="1:20" x14ac:dyDescent="0.25">
      <c r="B2" s="296" t="s">
        <v>214</v>
      </c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</row>
    <row r="3" spans="1:20" ht="308.25" customHeight="1" x14ac:dyDescent="0.25">
      <c r="A3" s="47" t="s">
        <v>83</v>
      </c>
      <c r="B3" s="293" t="s">
        <v>84</v>
      </c>
      <c r="C3" s="294"/>
      <c r="D3" s="294"/>
      <c r="E3" s="294"/>
      <c r="F3" s="294"/>
      <c r="G3" s="294"/>
      <c r="H3" s="294"/>
      <c r="I3" s="295"/>
      <c r="J3" s="45" t="s">
        <v>217</v>
      </c>
      <c r="K3" s="45" t="s">
        <v>216</v>
      </c>
      <c r="L3" s="46" t="s">
        <v>215</v>
      </c>
      <c r="M3" s="45" t="s">
        <v>218</v>
      </c>
      <c r="N3" s="45" t="s">
        <v>221</v>
      </c>
      <c r="O3" s="45" t="s">
        <v>273</v>
      </c>
      <c r="P3" s="88" t="s">
        <v>222</v>
      </c>
      <c r="Q3" s="88" t="s">
        <v>223</v>
      </c>
      <c r="R3" s="88" t="s">
        <v>224</v>
      </c>
      <c r="S3" s="39" t="s">
        <v>225</v>
      </c>
      <c r="T3" s="45" t="s">
        <v>226</v>
      </c>
    </row>
    <row r="4" spans="1:20" x14ac:dyDescent="0.25">
      <c r="A4" s="77">
        <v>3</v>
      </c>
      <c r="B4" s="298" t="s">
        <v>49</v>
      </c>
      <c r="C4" s="298"/>
      <c r="D4" s="298"/>
      <c r="E4" s="298"/>
      <c r="F4" s="298"/>
      <c r="G4" s="298"/>
      <c r="H4" s="298"/>
      <c r="I4" s="298"/>
      <c r="J4" s="78" t="s">
        <v>117</v>
      </c>
      <c r="K4" s="78" t="s">
        <v>116</v>
      </c>
      <c r="L4" s="78" t="s">
        <v>115</v>
      </c>
      <c r="M4" s="78" t="s">
        <v>114</v>
      </c>
      <c r="N4" s="78" t="s">
        <v>133</v>
      </c>
      <c r="O4" s="78" t="s">
        <v>134</v>
      </c>
      <c r="P4" s="79"/>
      <c r="Q4" s="79"/>
      <c r="R4" s="79"/>
      <c r="S4" s="79"/>
      <c r="T4" s="79"/>
    </row>
    <row r="5" spans="1:20" x14ac:dyDescent="0.25">
      <c r="A5" s="43" t="s">
        <v>14</v>
      </c>
      <c r="B5" s="291" t="s">
        <v>120</v>
      </c>
      <c r="C5" s="291"/>
      <c r="D5" s="291"/>
      <c r="E5" s="291"/>
      <c r="F5" s="291"/>
      <c r="G5" s="291"/>
      <c r="H5" s="291"/>
      <c r="I5" s="291"/>
      <c r="J5" s="83">
        <v>4.1999999999999997E-3</v>
      </c>
      <c r="K5" s="83">
        <v>4.1999999999999997E-3</v>
      </c>
      <c r="L5" s="81">
        <v>4.1999999999999997E-3</v>
      </c>
      <c r="M5" s="83">
        <v>4.5999999999999999E-3</v>
      </c>
      <c r="N5" s="83">
        <v>9.2999999999999992E-3</v>
      </c>
      <c r="O5" s="86">
        <v>4.1999999999999997E-3</v>
      </c>
      <c r="P5" s="86">
        <f>AVERAGE(J5:O5)</f>
        <v>5.1166666666666661E-3</v>
      </c>
      <c r="Q5" s="86">
        <f>MEDIAN(J5:O5)</f>
        <v>4.1999999999999997E-3</v>
      </c>
      <c r="R5" s="86">
        <f>_xlfn.STDEV.S(J5:O5)</f>
        <v>2.055642640797925E-3</v>
      </c>
      <c r="S5" s="86">
        <f>R5/P5</f>
        <v>0.4017542620451971</v>
      </c>
      <c r="T5" s="86">
        <f>IF(S5&lt;=25%,P5,Q5)</f>
        <v>4.1999999999999997E-3</v>
      </c>
    </row>
    <row r="6" spans="1:20" x14ac:dyDescent="0.25">
      <c r="A6" s="43" t="s">
        <v>20</v>
      </c>
      <c r="B6" s="291" t="s">
        <v>119</v>
      </c>
      <c r="C6" s="291"/>
      <c r="D6" s="291"/>
      <c r="E6" s="291"/>
      <c r="F6" s="291"/>
      <c r="G6" s="291"/>
      <c r="H6" s="291"/>
      <c r="I6" s="291"/>
      <c r="J6" s="83">
        <v>1.9400000000000001E-2</v>
      </c>
      <c r="K6" s="83">
        <v>1.9400000000000001E-2</v>
      </c>
      <c r="L6" s="81">
        <v>1.9400000000000001E-2</v>
      </c>
      <c r="M6" s="83">
        <v>1.9400000000000001E-2</v>
      </c>
      <c r="N6" s="83">
        <v>1.9400000000000001E-2</v>
      </c>
      <c r="O6" s="86">
        <v>1.9400000000000001E-2</v>
      </c>
      <c r="P6" s="86">
        <f>AVERAGE(J6:O6)</f>
        <v>1.9400000000000001E-2</v>
      </c>
      <c r="Q6" s="86">
        <f>MEDIAN(J6:O6)</f>
        <v>1.9400000000000001E-2</v>
      </c>
      <c r="R6" s="86">
        <f>_xlfn.STDEV.S(J6:O6)</f>
        <v>0</v>
      </c>
      <c r="S6" s="86">
        <f>R6/P6</f>
        <v>0</v>
      </c>
      <c r="T6" s="86">
        <f>IF(S6&lt;=25%,P6,Q6)</f>
        <v>1.9400000000000001E-2</v>
      </c>
    </row>
    <row r="7" spans="1:20" x14ac:dyDescent="0.25">
      <c r="A7" s="77" t="s">
        <v>58</v>
      </c>
      <c r="B7" s="299" t="s">
        <v>118</v>
      </c>
      <c r="C7" s="299"/>
      <c r="D7" s="299"/>
      <c r="E7" s="299"/>
      <c r="F7" s="299"/>
      <c r="G7" s="299"/>
      <c r="H7" s="299"/>
      <c r="I7" s="299"/>
      <c r="J7" s="79" t="s">
        <v>116</v>
      </c>
      <c r="K7" s="79" t="s">
        <v>115</v>
      </c>
      <c r="L7" s="79" t="s">
        <v>114</v>
      </c>
      <c r="M7" s="79" t="s">
        <v>133</v>
      </c>
      <c r="N7" s="79" t="s">
        <v>220</v>
      </c>
      <c r="O7" s="79"/>
      <c r="P7" s="79"/>
      <c r="Q7" s="79"/>
      <c r="R7" s="79"/>
      <c r="S7" s="79"/>
      <c r="T7" s="79"/>
    </row>
    <row r="8" spans="1:20" ht="15.75" x14ac:dyDescent="0.25">
      <c r="A8" s="43" t="s">
        <v>16</v>
      </c>
      <c r="B8" s="291" t="s">
        <v>113</v>
      </c>
      <c r="C8" s="291"/>
      <c r="D8" s="291"/>
      <c r="E8" s="291"/>
      <c r="F8" s="291"/>
      <c r="G8" s="291"/>
      <c r="H8" s="291"/>
      <c r="I8" s="291"/>
      <c r="J8" s="83">
        <v>2.8E-3</v>
      </c>
      <c r="K8" s="83">
        <v>6.6E-3</v>
      </c>
      <c r="L8" s="81">
        <v>1.66E-2</v>
      </c>
      <c r="M8" s="83">
        <v>5.5999999999999999E-3</v>
      </c>
      <c r="N8" s="83">
        <v>1.2999999999999999E-3</v>
      </c>
      <c r="O8" s="32">
        <v>1.66E-2</v>
      </c>
      <c r="P8" s="86">
        <f>AVERAGE(J8:O8)</f>
        <v>8.2500000000000004E-3</v>
      </c>
      <c r="Q8" s="86">
        <f>MEDIAN(J8:O8)</f>
        <v>6.0999999999999995E-3</v>
      </c>
      <c r="R8" s="86">
        <f>_xlfn.STDEV.S(J8:O8)</f>
        <v>6.7408456442793587E-3</v>
      </c>
      <c r="S8" s="86">
        <f>R8/P8</f>
        <v>0.81707219930658892</v>
      </c>
      <c r="T8" s="86">
        <f>IF(S8&lt;=25%,P8,Q8)</f>
        <v>6.0999999999999995E-3</v>
      </c>
    </row>
    <row r="9" spans="1:20" ht="15.75" x14ac:dyDescent="0.25">
      <c r="A9" s="43" t="s">
        <v>18</v>
      </c>
      <c r="B9" s="290" t="s">
        <v>112</v>
      </c>
      <c r="C9" s="290"/>
      <c r="D9" s="290"/>
      <c r="E9" s="290"/>
      <c r="F9" s="290"/>
      <c r="G9" s="290"/>
      <c r="H9" s="290"/>
      <c r="I9" s="290"/>
      <c r="J9" s="83">
        <v>2.0000000000000001E-4</v>
      </c>
      <c r="K9" s="83">
        <v>6.9999999999999999E-4</v>
      </c>
      <c r="L9" s="81">
        <v>2.0000000000000001E-4</v>
      </c>
      <c r="M9" s="83">
        <v>2.0000000000000001E-4</v>
      </c>
      <c r="N9" s="83">
        <v>6.9999999999999999E-4</v>
      </c>
      <c r="O9" s="32">
        <v>2.9999999999999997E-4</v>
      </c>
      <c r="P9" s="86">
        <f>AVERAGE(J9:O9)</f>
        <v>3.8333333333333334E-4</v>
      </c>
      <c r="Q9" s="86">
        <f>MEDIAN(J9:O9)</f>
        <v>2.5000000000000001E-4</v>
      </c>
      <c r="R9" s="86">
        <f>_xlfn.STDEV.S(J9:O9)</f>
        <v>2.48327740429189E-4</v>
      </c>
      <c r="S9" s="86">
        <f t="shared" ref="S9:S11" si="0">R9/P9</f>
        <v>0.64781149677179739</v>
      </c>
      <c r="T9" s="86">
        <f t="shared" ref="T9:T11" si="1">IF(S9&lt;=25%,P9,Q9)</f>
        <v>2.5000000000000001E-4</v>
      </c>
    </row>
    <row r="10" spans="1:20" ht="15.75" x14ac:dyDescent="0.25">
      <c r="A10" s="43" t="s">
        <v>20</v>
      </c>
      <c r="B10" s="290" t="s">
        <v>111</v>
      </c>
      <c r="C10" s="290"/>
      <c r="D10" s="290"/>
      <c r="E10" s="290"/>
      <c r="F10" s="290"/>
      <c r="G10" s="290"/>
      <c r="H10" s="290"/>
      <c r="I10" s="290"/>
      <c r="J10" s="83">
        <v>1.2999999999999999E-3</v>
      </c>
      <c r="K10" s="83">
        <v>2.8E-3</v>
      </c>
      <c r="L10" s="81">
        <v>1.2999999999999999E-3</v>
      </c>
      <c r="M10" s="83">
        <v>3.3E-3</v>
      </c>
      <c r="N10" s="83">
        <v>6.9999999999999999E-4</v>
      </c>
      <c r="O10" s="32">
        <v>8.2000000000000007E-3</v>
      </c>
      <c r="P10" s="86">
        <f>AVERAGE(J10:O10)</f>
        <v>2.9333333333333329E-3</v>
      </c>
      <c r="Q10" s="86">
        <f>MEDIAN(J10:O10)</f>
        <v>2.0499999999999997E-3</v>
      </c>
      <c r="R10" s="86">
        <f>_xlfn.STDEV.S(J10:O10)</f>
        <v>2.7645373332018273E-3</v>
      </c>
      <c r="S10" s="86">
        <f t="shared" si="0"/>
        <v>0.94245590904607757</v>
      </c>
      <c r="T10" s="86">
        <f t="shared" si="1"/>
        <v>2.0499999999999997E-3</v>
      </c>
    </row>
    <row r="11" spans="1:20" ht="15.75" customHeight="1" x14ac:dyDescent="0.25">
      <c r="A11" s="43" t="s">
        <v>21</v>
      </c>
      <c r="B11" s="290" t="s">
        <v>110</v>
      </c>
      <c r="C11" s="290"/>
      <c r="D11" s="290"/>
      <c r="E11" s="290"/>
      <c r="F11" s="290"/>
      <c r="G11" s="290"/>
      <c r="H11" s="290"/>
      <c r="I11" s="290"/>
      <c r="J11" s="83">
        <v>5.9999999999999995E-4</v>
      </c>
      <c r="K11" s="83">
        <v>5.9999999999999995E-4</v>
      </c>
      <c r="L11" s="81">
        <v>5.9999999999999995E-4</v>
      </c>
      <c r="M11" s="83">
        <v>5.0000000000000001E-4</v>
      </c>
      <c r="N11" s="83">
        <v>6.9999999999999999E-4</v>
      </c>
      <c r="O11" s="32">
        <v>2.0000000000000001E-4</v>
      </c>
      <c r="P11" s="86">
        <f>AVERAGE(J11:O11)</f>
        <v>5.3333333333333336E-4</v>
      </c>
      <c r="Q11" s="86">
        <f>MEDIAN(J11:O11)</f>
        <v>5.9999999999999995E-4</v>
      </c>
      <c r="R11" s="86">
        <f>_xlfn.STDEV.S(J11:O11)</f>
        <v>1.7511900715418263E-4</v>
      </c>
      <c r="S11" s="86">
        <f t="shared" si="0"/>
        <v>0.32834813841409244</v>
      </c>
      <c r="T11" s="86">
        <f t="shared" si="1"/>
        <v>5.9999999999999995E-4</v>
      </c>
    </row>
    <row r="12" spans="1:20" ht="15.75" x14ac:dyDescent="0.25">
      <c r="A12" s="43" t="s">
        <v>23</v>
      </c>
      <c r="B12" s="290" t="s">
        <v>109</v>
      </c>
      <c r="C12" s="290"/>
      <c r="D12" s="290"/>
      <c r="E12" s="290"/>
      <c r="F12" s="290"/>
      <c r="G12" s="290"/>
      <c r="H12" s="290"/>
      <c r="I12" s="290"/>
      <c r="J12" s="44"/>
      <c r="K12" s="44"/>
      <c r="L12" s="49"/>
      <c r="M12" s="44"/>
      <c r="N12" s="83"/>
      <c r="O12" s="32"/>
      <c r="P12" s="86"/>
      <c r="Q12" s="86"/>
      <c r="R12" s="86"/>
      <c r="S12" s="86"/>
      <c r="T12" s="86"/>
    </row>
    <row r="13" spans="1:20" x14ac:dyDescent="0.25">
      <c r="A13" s="77">
        <v>6</v>
      </c>
      <c r="B13" s="292" t="s">
        <v>7</v>
      </c>
      <c r="C13" s="292"/>
      <c r="D13" s="292"/>
      <c r="E13" s="292"/>
      <c r="F13" s="292"/>
      <c r="G13" s="292"/>
      <c r="H13" s="292"/>
      <c r="I13" s="292"/>
      <c r="J13" s="79" t="s">
        <v>108</v>
      </c>
      <c r="K13" s="79" t="s">
        <v>107</v>
      </c>
      <c r="L13" s="79" t="s">
        <v>106</v>
      </c>
      <c r="M13" s="79" t="s">
        <v>219</v>
      </c>
      <c r="N13" s="79" t="s">
        <v>227</v>
      </c>
      <c r="O13" s="79"/>
      <c r="P13" s="79"/>
      <c r="Q13" s="79"/>
      <c r="R13" s="79"/>
      <c r="S13" s="79"/>
      <c r="T13" s="79"/>
    </row>
    <row r="14" spans="1:20" x14ac:dyDescent="0.25">
      <c r="A14" s="43" t="s">
        <v>14</v>
      </c>
      <c r="B14" s="290" t="s">
        <v>8</v>
      </c>
      <c r="C14" s="290"/>
      <c r="D14" s="290"/>
      <c r="E14" s="290"/>
      <c r="F14" s="290"/>
      <c r="G14" s="290"/>
      <c r="H14" s="290"/>
      <c r="I14" s="290"/>
      <c r="J14" s="84">
        <v>0.01</v>
      </c>
      <c r="K14" s="84">
        <v>0.05</v>
      </c>
      <c r="L14" s="82">
        <v>1.2999999999999999E-2</v>
      </c>
      <c r="M14" s="83">
        <v>2.0199999999999999E-2</v>
      </c>
      <c r="N14" s="83">
        <v>0.01</v>
      </c>
      <c r="O14" s="87">
        <v>0.1</v>
      </c>
      <c r="P14" s="86">
        <f>AVERAGE(J14:O14)</f>
        <v>3.3866666666666663E-2</v>
      </c>
      <c r="Q14" s="86">
        <f>MEDIAN(J14:O14)</f>
        <v>1.66E-2</v>
      </c>
      <c r="R14" s="86">
        <f>_xlfn.STDEV.S(J14:O14)</f>
        <v>3.5764041531497349E-2</v>
      </c>
      <c r="S14" s="86">
        <f>R14/P14</f>
        <v>1.0560248483709849</v>
      </c>
      <c r="T14" s="86">
        <f>IF(S14&lt;=25%,P14,Q14)</f>
        <v>1.66E-2</v>
      </c>
    </row>
    <row r="15" spans="1:20" x14ac:dyDescent="0.25">
      <c r="A15" s="43" t="s">
        <v>105</v>
      </c>
      <c r="B15" s="291" t="s">
        <v>10</v>
      </c>
      <c r="C15" s="291"/>
      <c r="D15" s="291"/>
      <c r="E15" s="291"/>
      <c r="F15" s="291"/>
      <c r="G15" s="291"/>
      <c r="H15" s="291"/>
      <c r="I15" s="291"/>
      <c r="J15" s="84">
        <v>0.01</v>
      </c>
      <c r="K15" s="85">
        <v>2.9000000000000001E-2</v>
      </c>
      <c r="L15" s="82">
        <v>1.2999999999999999E-2</v>
      </c>
      <c r="M15" s="42">
        <v>0.02</v>
      </c>
      <c r="N15" s="42">
        <v>3.0099999999999998E-2</v>
      </c>
      <c r="O15" s="87">
        <v>0.1</v>
      </c>
      <c r="P15" s="86">
        <f>AVERAGE(J15:O15)</f>
        <v>3.3683333333333336E-2</v>
      </c>
      <c r="Q15" s="86">
        <f>MEDIAN(J15:O15)</f>
        <v>2.4500000000000001E-2</v>
      </c>
      <c r="R15" s="86">
        <f>_xlfn.STDEV.S(J15:O15)</f>
        <v>3.349211349954892E-2</v>
      </c>
      <c r="S15" s="86">
        <f>R15/P15</f>
        <v>0.994323013346331</v>
      </c>
      <c r="T15" s="86">
        <f>IF(S15&lt;=25%,P15,Q15)</f>
        <v>2.4500000000000001E-2</v>
      </c>
    </row>
  </sheetData>
  <mergeCells count="14">
    <mergeCell ref="B8:I8"/>
    <mergeCell ref="B3:I3"/>
    <mergeCell ref="B2:M2"/>
    <mergeCell ref="B4:I4"/>
    <mergeCell ref="B5:I5"/>
    <mergeCell ref="B6:I6"/>
    <mergeCell ref="B7:I7"/>
    <mergeCell ref="B14:I14"/>
    <mergeCell ref="B15:I15"/>
    <mergeCell ref="B9:I9"/>
    <mergeCell ref="B10:I10"/>
    <mergeCell ref="B11:I11"/>
    <mergeCell ref="B12:I12"/>
    <mergeCell ref="B13:I13"/>
  </mergeCells>
  <pageMargins left="0.51181102362204722" right="0.51181102362204722" top="0.78740157480314965" bottom="0.78740157480314965" header="0.31496062992125984" footer="0.31496062992125984"/>
  <pageSetup paperSize="9" scale="40" fitToWidth="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07FFFB-5D3F-451D-A7D6-C4714F769455}">
  <dimension ref="A2:I14"/>
  <sheetViews>
    <sheetView view="pageBreakPreview" zoomScale="130" zoomScaleNormal="130" zoomScaleSheetLayoutView="130" workbookViewId="0">
      <selection activeCell="A14" sqref="A14:H14"/>
    </sheetView>
  </sheetViews>
  <sheetFormatPr defaultRowHeight="12.75" x14ac:dyDescent="0.2"/>
  <cols>
    <col min="1" max="1" width="5.140625" style="69" bestFit="1" customWidth="1"/>
    <col min="2" max="2" width="33.140625" style="69" customWidth="1"/>
    <col min="3" max="3" width="15.5703125" style="69" hidden="1" customWidth="1"/>
    <col min="4" max="4" width="11.140625" style="69" customWidth="1"/>
    <col min="5" max="5" width="13.5703125" style="69" customWidth="1"/>
    <col min="6" max="6" width="13" style="69" customWidth="1"/>
    <col min="7" max="7" width="14.7109375" style="69" customWidth="1"/>
    <col min="8" max="8" width="16.85546875" style="69" bestFit="1" customWidth="1"/>
    <col min="9" max="9" width="18" style="69" bestFit="1" customWidth="1"/>
    <col min="10" max="10" width="15.85546875" style="69" bestFit="1" customWidth="1"/>
    <col min="11" max="257" width="9.140625" style="69"/>
    <col min="258" max="258" width="5.7109375" style="69" customWidth="1"/>
    <col min="259" max="259" width="31.5703125" style="69" customWidth="1"/>
    <col min="260" max="260" width="12.85546875" style="69" customWidth="1"/>
    <col min="261" max="261" width="13" style="69" customWidth="1"/>
    <col min="262" max="262" width="14.7109375" style="69" customWidth="1"/>
    <col min="263" max="263" width="14.7109375" style="69" bestFit="1" customWidth="1"/>
    <col min="264" max="266" width="15.85546875" style="69" bestFit="1" customWidth="1"/>
    <col min="267" max="513" width="9.140625" style="69"/>
    <col min="514" max="514" width="5.7109375" style="69" customWidth="1"/>
    <col min="515" max="515" width="31.5703125" style="69" customWidth="1"/>
    <col min="516" max="516" width="12.85546875" style="69" customWidth="1"/>
    <col min="517" max="517" width="13" style="69" customWidth="1"/>
    <col min="518" max="518" width="14.7109375" style="69" customWidth="1"/>
    <col min="519" max="519" width="14.7109375" style="69" bestFit="1" customWidth="1"/>
    <col min="520" max="522" width="15.85546875" style="69" bestFit="1" customWidth="1"/>
    <col min="523" max="769" width="9.140625" style="69"/>
    <col min="770" max="770" width="5.7109375" style="69" customWidth="1"/>
    <col min="771" max="771" width="31.5703125" style="69" customWidth="1"/>
    <col min="772" max="772" width="12.85546875" style="69" customWidth="1"/>
    <col min="773" max="773" width="13" style="69" customWidth="1"/>
    <col min="774" max="774" width="14.7109375" style="69" customWidth="1"/>
    <col min="775" max="775" width="14.7109375" style="69" bestFit="1" customWidth="1"/>
    <col min="776" max="778" width="15.85546875" style="69" bestFit="1" customWidth="1"/>
    <col min="779" max="1025" width="9.140625" style="69"/>
    <col min="1026" max="1026" width="5.7109375" style="69" customWidth="1"/>
    <col min="1027" max="1027" width="31.5703125" style="69" customWidth="1"/>
    <col min="1028" max="1028" width="12.85546875" style="69" customWidth="1"/>
    <col min="1029" max="1029" width="13" style="69" customWidth="1"/>
    <col min="1030" max="1030" width="14.7109375" style="69" customWidth="1"/>
    <col min="1031" max="1031" width="14.7109375" style="69" bestFit="1" customWidth="1"/>
    <col min="1032" max="1034" width="15.85546875" style="69" bestFit="1" customWidth="1"/>
    <col min="1035" max="1281" width="9.140625" style="69"/>
    <col min="1282" max="1282" width="5.7109375" style="69" customWidth="1"/>
    <col min="1283" max="1283" width="31.5703125" style="69" customWidth="1"/>
    <col min="1284" max="1284" width="12.85546875" style="69" customWidth="1"/>
    <col min="1285" max="1285" width="13" style="69" customWidth="1"/>
    <col min="1286" max="1286" width="14.7109375" style="69" customWidth="1"/>
    <col min="1287" max="1287" width="14.7109375" style="69" bestFit="1" customWidth="1"/>
    <col min="1288" max="1290" width="15.85546875" style="69" bestFit="1" customWidth="1"/>
    <col min="1291" max="1537" width="9.140625" style="69"/>
    <col min="1538" max="1538" width="5.7109375" style="69" customWidth="1"/>
    <col min="1539" max="1539" width="31.5703125" style="69" customWidth="1"/>
    <col min="1540" max="1540" width="12.85546875" style="69" customWidth="1"/>
    <col min="1541" max="1541" width="13" style="69" customWidth="1"/>
    <col min="1542" max="1542" width="14.7109375" style="69" customWidth="1"/>
    <col min="1543" max="1543" width="14.7109375" style="69" bestFit="1" customWidth="1"/>
    <col min="1544" max="1546" width="15.85546875" style="69" bestFit="1" customWidth="1"/>
    <col min="1547" max="1793" width="9.140625" style="69"/>
    <col min="1794" max="1794" width="5.7109375" style="69" customWidth="1"/>
    <col min="1795" max="1795" width="31.5703125" style="69" customWidth="1"/>
    <col min="1796" max="1796" width="12.85546875" style="69" customWidth="1"/>
    <col min="1797" max="1797" width="13" style="69" customWidth="1"/>
    <col min="1798" max="1798" width="14.7109375" style="69" customWidth="1"/>
    <col min="1799" max="1799" width="14.7109375" style="69" bestFit="1" customWidth="1"/>
    <col min="1800" max="1802" width="15.85546875" style="69" bestFit="1" customWidth="1"/>
    <col min="1803" max="2049" width="9.140625" style="69"/>
    <col min="2050" max="2050" width="5.7109375" style="69" customWidth="1"/>
    <col min="2051" max="2051" width="31.5703125" style="69" customWidth="1"/>
    <col min="2052" max="2052" width="12.85546875" style="69" customWidth="1"/>
    <col min="2053" max="2053" width="13" style="69" customWidth="1"/>
    <col min="2054" max="2054" width="14.7109375" style="69" customWidth="1"/>
    <col min="2055" max="2055" width="14.7109375" style="69" bestFit="1" customWidth="1"/>
    <col min="2056" max="2058" width="15.85546875" style="69" bestFit="1" customWidth="1"/>
    <col min="2059" max="2305" width="9.140625" style="69"/>
    <col min="2306" max="2306" width="5.7109375" style="69" customWidth="1"/>
    <col min="2307" max="2307" width="31.5703125" style="69" customWidth="1"/>
    <col min="2308" max="2308" width="12.85546875" style="69" customWidth="1"/>
    <col min="2309" max="2309" width="13" style="69" customWidth="1"/>
    <col min="2310" max="2310" width="14.7109375" style="69" customWidth="1"/>
    <col min="2311" max="2311" width="14.7109375" style="69" bestFit="1" customWidth="1"/>
    <col min="2312" max="2314" width="15.85546875" style="69" bestFit="1" customWidth="1"/>
    <col min="2315" max="2561" width="9.140625" style="69"/>
    <col min="2562" max="2562" width="5.7109375" style="69" customWidth="1"/>
    <col min="2563" max="2563" width="31.5703125" style="69" customWidth="1"/>
    <col min="2564" max="2564" width="12.85546875" style="69" customWidth="1"/>
    <col min="2565" max="2565" width="13" style="69" customWidth="1"/>
    <col min="2566" max="2566" width="14.7109375" style="69" customWidth="1"/>
    <col min="2567" max="2567" width="14.7109375" style="69" bestFit="1" customWidth="1"/>
    <col min="2568" max="2570" width="15.85546875" style="69" bestFit="1" customWidth="1"/>
    <col min="2571" max="2817" width="9.140625" style="69"/>
    <col min="2818" max="2818" width="5.7109375" style="69" customWidth="1"/>
    <col min="2819" max="2819" width="31.5703125" style="69" customWidth="1"/>
    <col min="2820" max="2820" width="12.85546875" style="69" customWidth="1"/>
    <col min="2821" max="2821" width="13" style="69" customWidth="1"/>
    <col min="2822" max="2822" width="14.7109375" style="69" customWidth="1"/>
    <col min="2823" max="2823" width="14.7109375" style="69" bestFit="1" customWidth="1"/>
    <col min="2824" max="2826" width="15.85546875" style="69" bestFit="1" customWidth="1"/>
    <col min="2827" max="3073" width="9.140625" style="69"/>
    <col min="3074" max="3074" width="5.7109375" style="69" customWidth="1"/>
    <col min="3075" max="3075" width="31.5703125" style="69" customWidth="1"/>
    <col min="3076" max="3076" width="12.85546875" style="69" customWidth="1"/>
    <col min="3077" max="3077" width="13" style="69" customWidth="1"/>
    <col min="3078" max="3078" width="14.7109375" style="69" customWidth="1"/>
    <col min="3079" max="3079" width="14.7109375" style="69" bestFit="1" customWidth="1"/>
    <col min="3080" max="3082" width="15.85546875" style="69" bestFit="1" customWidth="1"/>
    <col min="3083" max="3329" width="9.140625" style="69"/>
    <col min="3330" max="3330" width="5.7109375" style="69" customWidth="1"/>
    <col min="3331" max="3331" width="31.5703125" style="69" customWidth="1"/>
    <col min="3332" max="3332" width="12.85546875" style="69" customWidth="1"/>
    <col min="3333" max="3333" width="13" style="69" customWidth="1"/>
    <col min="3334" max="3334" width="14.7109375" style="69" customWidth="1"/>
    <col min="3335" max="3335" width="14.7109375" style="69" bestFit="1" customWidth="1"/>
    <col min="3336" max="3338" width="15.85546875" style="69" bestFit="1" customWidth="1"/>
    <col min="3339" max="3585" width="9.140625" style="69"/>
    <col min="3586" max="3586" width="5.7109375" style="69" customWidth="1"/>
    <col min="3587" max="3587" width="31.5703125" style="69" customWidth="1"/>
    <col min="3588" max="3588" width="12.85546875" style="69" customWidth="1"/>
    <col min="3589" max="3589" width="13" style="69" customWidth="1"/>
    <col min="3590" max="3590" width="14.7109375" style="69" customWidth="1"/>
    <col min="3591" max="3591" width="14.7109375" style="69" bestFit="1" customWidth="1"/>
    <col min="3592" max="3594" width="15.85546875" style="69" bestFit="1" customWidth="1"/>
    <col min="3595" max="3841" width="9.140625" style="69"/>
    <col min="3842" max="3842" width="5.7109375" style="69" customWidth="1"/>
    <col min="3843" max="3843" width="31.5703125" style="69" customWidth="1"/>
    <col min="3844" max="3844" width="12.85546875" style="69" customWidth="1"/>
    <col min="3845" max="3845" width="13" style="69" customWidth="1"/>
    <col min="3846" max="3846" width="14.7109375" style="69" customWidth="1"/>
    <col min="3847" max="3847" width="14.7109375" style="69" bestFit="1" customWidth="1"/>
    <col min="3848" max="3850" width="15.85546875" style="69" bestFit="1" customWidth="1"/>
    <col min="3851" max="4097" width="9.140625" style="69"/>
    <col min="4098" max="4098" width="5.7109375" style="69" customWidth="1"/>
    <col min="4099" max="4099" width="31.5703125" style="69" customWidth="1"/>
    <col min="4100" max="4100" width="12.85546875" style="69" customWidth="1"/>
    <col min="4101" max="4101" width="13" style="69" customWidth="1"/>
    <col min="4102" max="4102" width="14.7109375" style="69" customWidth="1"/>
    <col min="4103" max="4103" width="14.7109375" style="69" bestFit="1" customWidth="1"/>
    <col min="4104" max="4106" width="15.85546875" style="69" bestFit="1" customWidth="1"/>
    <col min="4107" max="4353" width="9.140625" style="69"/>
    <col min="4354" max="4354" width="5.7109375" style="69" customWidth="1"/>
    <col min="4355" max="4355" width="31.5703125" style="69" customWidth="1"/>
    <col min="4356" max="4356" width="12.85546875" style="69" customWidth="1"/>
    <col min="4357" max="4357" width="13" style="69" customWidth="1"/>
    <col min="4358" max="4358" width="14.7109375" style="69" customWidth="1"/>
    <col min="4359" max="4359" width="14.7109375" style="69" bestFit="1" customWidth="1"/>
    <col min="4360" max="4362" width="15.85546875" style="69" bestFit="1" customWidth="1"/>
    <col min="4363" max="4609" width="9.140625" style="69"/>
    <col min="4610" max="4610" width="5.7109375" style="69" customWidth="1"/>
    <col min="4611" max="4611" width="31.5703125" style="69" customWidth="1"/>
    <col min="4612" max="4612" width="12.85546875" style="69" customWidth="1"/>
    <col min="4613" max="4613" width="13" style="69" customWidth="1"/>
    <col min="4614" max="4614" width="14.7109375" style="69" customWidth="1"/>
    <col min="4615" max="4615" width="14.7109375" style="69" bestFit="1" customWidth="1"/>
    <col min="4616" max="4618" width="15.85546875" style="69" bestFit="1" customWidth="1"/>
    <col min="4619" max="4865" width="9.140625" style="69"/>
    <col min="4866" max="4866" width="5.7109375" style="69" customWidth="1"/>
    <col min="4867" max="4867" width="31.5703125" style="69" customWidth="1"/>
    <col min="4868" max="4868" width="12.85546875" style="69" customWidth="1"/>
    <col min="4869" max="4869" width="13" style="69" customWidth="1"/>
    <col min="4870" max="4870" width="14.7109375" style="69" customWidth="1"/>
    <col min="4871" max="4871" width="14.7109375" style="69" bestFit="1" customWidth="1"/>
    <col min="4872" max="4874" width="15.85546875" style="69" bestFit="1" customWidth="1"/>
    <col min="4875" max="5121" width="9.140625" style="69"/>
    <col min="5122" max="5122" width="5.7109375" style="69" customWidth="1"/>
    <col min="5123" max="5123" width="31.5703125" style="69" customWidth="1"/>
    <col min="5124" max="5124" width="12.85546875" style="69" customWidth="1"/>
    <col min="5125" max="5125" width="13" style="69" customWidth="1"/>
    <col min="5126" max="5126" width="14.7109375" style="69" customWidth="1"/>
    <col min="5127" max="5127" width="14.7109375" style="69" bestFit="1" customWidth="1"/>
    <col min="5128" max="5130" width="15.85546875" style="69" bestFit="1" customWidth="1"/>
    <col min="5131" max="5377" width="9.140625" style="69"/>
    <col min="5378" max="5378" width="5.7109375" style="69" customWidth="1"/>
    <col min="5379" max="5379" width="31.5703125" style="69" customWidth="1"/>
    <col min="5380" max="5380" width="12.85546875" style="69" customWidth="1"/>
    <col min="5381" max="5381" width="13" style="69" customWidth="1"/>
    <col min="5382" max="5382" width="14.7109375" style="69" customWidth="1"/>
    <col min="5383" max="5383" width="14.7109375" style="69" bestFit="1" customWidth="1"/>
    <col min="5384" max="5386" width="15.85546875" style="69" bestFit="1" customWidth="1"/>
    <col min="5387" max="5633" width="9.140625" style="69"/>
    <col min="5634" max="5634" width="5.7109375" style="69" customWidth="1"/>
    <col min="5635" max="5635" width="31.5703125" style="69" customWidth="1"/>
    <col min="5636" max="5636" width="12.85546875" style="69" customWidth="1"/>
    <col min="5637" max="5637" width="13" style="69" customWidth="1"/>
    <col min="5638" max="5638" width="14.7109375" style="69" customWidth="1"/>
    <col min="5639" max="5639" width="14.7109375" style="69" bestFit="1" customWidth="1"/>
    <col min="5640" max="5642" width="15.85546875" style="69" bestFit="1" customWidth="1"/>
    <col min="5643" max="5889" width="9.140625" style="69"/>
    <col min="5890" max="5890" width="5.7109375" style="69" customWidth="1"/>
    <col min="5891" max="5891" width="31.5703125" style="69" customWidth="1"/>
    <col min="5892" max="5892" width="12.85546875" style="69" customWidth="1"/>
    <col min="5893" max="5893" width="13" style="69" customWidth="1"/>
    <col min="5894" max="5894" width="14.7109375" style="69" customWidth="1"/>
    <col min="5895" max="5895" width="14.7109375" style="69" bestFit="1" customWidth="1"/>
    <col min="5896" max="5898" width="15.85546875" style="69" bestFit="1" customWidth="1"/>
    <col min="5899" max="6145" width="9.140625" style="69"/>
    <col min="6146" max="6146" width="5.7109375" style="69" customWidth="1"/>
    <col min="6147" max="6147" width="31.5703125" style="69" customWidth="1"/>
    <col min="6148" max="6148" width="12.85546875" style="69" customWidth="1"/>
    <col min="6149" max="6149" width="13" style="69" customWidth="1"/>
    <col min="6150" max="6150" width="14.7109375" style="69" customWidth="1"/>
    <col min="6151" max="6151" width="14.7109375" style="69" bestFit="1" customWidth="1"/>
    <col min="6152" max="6154" width="15.85546875" style="69" bestFit="1" customWidth="1"/>
    <col min="6155" max="6401" width="9.140625" style="69"/>
    <col min="6402" max="6402" width="5.7109375" style="69" customWidth="1"/>
    <col min="6403" max="6403" width="31.5703125" style="69" customWidth="1"/>
    <col min="6404" max="6404" width="12.85546875" style="69" customWidth="1"/>
    <col min="6405" max="6405" width="13" style="69" customWidth="1"/>
    <col min="6406" max="6406" width="14.7109375" style="69" customWidth="1"/>
    <col min="6407" max="6407" width="14.7109375" style="69" bestFit="1" customWidth="1"/>
    <col min="6408" max="6410" width="15.85546875" style="69" bestFit="1" customWidth="1"/>
    <col min="6411" max="6657" width="9.140625" style="69"/>
    <col min="6658" max="6658" width="5.7109375" style="69" customWidth="1"/>
    <col min="6659" max="6659" width="31.5703125" style="69" customWidth="1"/>
    <col min="6660" max="6660" width="12.85546875" style="69" customWidth="1"/>
    <col min="6661" max="6661" width="13" style="69" customWidth="1"/>
    <col min="6662" max="6662" width="14.7109375" style="69" customWidth="1"/>
    <col min="6663" max="6663" width="14.7109375" style="69" bestFit="1" customWidth="1"/>
    <col min="6664" max="6666" width="15.85546875" style="69" bestFit="1" customWidth="1"/>
    <col min="6667" max="6913" width="9.140625" style="69"/>
    <col min="6914" max="6914" width="5.7109375" style="69" customWidth="1"/>
    <col min="6915" max="6915" width="31.5703125" style="69" customWidth="1"/>
    <col min="6916" max="6916" width="12.85546875" style="69" customWidth="1"/>
    <col min="6917" max="6917" width="13" style="69" customWidth="1"/>
    <col min="6918" max="6918" width="14.7109375" style="69" customWidth="1"/>
    <col min="6919" max="6919" width="14.7109375" style="69" bestFit="1" customWidth="1"/>
    <col min="6920" max="6922" width="15.85546875" style="69" bestFit="1" customWidth="1"/>
    <col min="6923" max="7169" width="9.140625" style="69"/>
    <col min="7170" max="7170" width="5.7109375" style="69" customWidth="1"/>
    <col min="7171" max="7171" width="31.5703125" style="69" customWidth="1"/>
    <col min="7172" max="7172" width="12.85546875" style="69" customWidth="1"/>
    <col min="7173" max="7173" width="13" style="69" customWidth="1"/>
    <col min="7174" max="7174" width="14.7109375" style="69" customWidth="1"/>
    <col min="7175" max="7175" width="14.7109375" style="69" bestFit="1" customWidth="1"/>
    <col min="7176" max="7178" width="15.85546875" style="69" bestFit="1" customWidth="1"/>
    <col min="7179" max="7425" width="9.140625" style="69"/>
    <col min="7426" max="7426" width="5.7109375" style="69" customWidth="1"/>
    <col min="7427" max="7427" width="31.5703125" style="69" customWidth="1"/>
    <col min="7428" max="7428" width="12.85546875" style="69" customWidth="1"/>
    <col min="7429" max="7429" width="13" style="69" customWidth="1"/>
    <col min="7430" max="7430" width="14.7109375" style="69" customWidth="1"/>
    <col min="7431" max="7431" width="14.7109375" style="69" bestFit="1" customWidth="1"/>
    <col min="7432" max="7434" width="15.85546875" style="69" bestFit="1" customWidth="1"/>
    <col min="7435" max="7681" width="9.140625" style="69"/>
    <col min="7682" max="7682" width="5.7109375" style="69" customWidth="1"/>
    <col min="7683" max="7683" width="31.5703125" style="69" customWidth="1"/>
    <col min="7684" max="7684" width="12.85546875" style="69" customWidth="1"/>
    <col min="7685" max="7685" width="13" style="69" customWidth="1"/>
    <col min="7686" max="7686" width="14.7109375" style="69" customWidth="1"/>
    <col min="7687" max="7687" width="14.7109375" style="69" bestFit="1" customWidth="1"/>
    <col min="7688" max="7690" width="15.85546875" style="69" bestFit="1" customWidth="1"/>
    <col min="7691" max="7937" width="9.140625" style="69"/>
    <col min="7938" max="7938" width="5.7109375" style="69" customWidth="1"/>
    <col min="7939" max="7939" width="31.5703125" style="69" customWidth="1"/>
    <col min="7940" max="7940" width="12.85546875" style="69" customWidth="1"/>
    <col min="7941" max="7941" width="13" style="69" customWidth="1"/>
    <col min="7942" max="7942" width="14.7109375" style="69" customWidth="1"/>
    <col min="7943" max="7943" width="14.7109375" style="69" bestFit="1" customWidth="1"/>
    <col min="7944" max="7946" width="15.85546875" style="69" bestFit="1" customWidth="1"/>
    <col min="7947" max="8193" width="9.140625" style="69"/>
    <col min="8194" max="8194" width="5.7109375" style="69" customWidth="1"/>
    <col min="8195" max="8195" width="31.5703125" style="69" customWidth="1"/>
    <col min="8196" max="8196" width="12.85546875" style="69" customWidth="1"/>
    <col min="8197" max="8197" width="13" style="69" customWidth="1"/>
    <col min="8198" max="8198" width="14.7109375" style="69" customWidth="1"/>
    <col min="8199" max="8199" width="14.7109375" style="69" bestFit="1" customWidth="1"/>
    <col min="8200" max="8202" width="15.85546875" style="69" bestFit="1" customWidth="1"/>
    <col min="8203" max="8449" width="9.140625" style="69"/>
    <col min="8450" max="8450" width="5.7109375" style="69" customWidth="1"/>
    <col min="8451" max="8451" width="31.5703125" style="69" customWidth="1"/>
    <col min="8452" max="8452" width="12.85546875" style="69" customWidth="1"/>
    <col min="8453" max="8453" width="13" style="69" customWidth="1"/>
    <col min="8454" max="8454" width="14.7109375" style="69" customWidth="1"/>
    <col min="8455" max="8455" width="14.7109375" style="69" bestFit="1" customWidth="1"/>
    <col min="8456" max="8458" width="15.85546875" style="69" bestFit="1" customWidth="1"/>
    <col min="8459" max="8705" width="9.140625" style="69"/>
    <col min="8706" max="8706" width="5.7109375" style="69" customWidth="1"/>
    <col min="8707" max="8707" width="31.5703125" style="69" customWidth="1"/>
    <col min="8708" max="8708" width="12.85546875" style="69" customWidth="1"/>
    <col min="8709" max="8709" width="13" style="69" customWidth="1"/>
    <col min="8710" max="8710" width="14.7109375" style="69" customWidth="1"/>
    <col min="8711" max="8711" width="14.7109375" style="69" bestFit="1" customWidth="1"/>
    <col min="8712" max="8714" width="15.85546875" style="69" bestFit="1" customWidth="1"/>
    <col min="8715" max="8961" width="9.140625" style="69"/>
    <col min="8962" max="8962" width="5.7109375" style="69" customWidth="1"/>
    <col min="8963" max="8963" width="31.5703125" style="69" customWidth="1"/>
    <col min="8964" max="8964" width="12.85546875" style="69" customWidth="1"/>
    <col min="8965" max="8965" width="13" style="69" customWidth="1"/>
    <col min="8966" max="8966" width="14.7109375" style="69" customWidth="1"/>
    <col min="8967" max="8967" width="14.7109375" style="69" bestFit="1" customWidth="1"/>
    <col min="8968" max="8970" width="15.85546875" style="69" bestFit="1" customWidth="1"/>
    <col min="8971" max="9217" width="9.140625" style="69"/>
    <col min="9218" max="9218" width="5.7109375" style="69" customWidth="1"/>
    <col min="9219" max="9219" width="31.5703125" style="69" customWidth="1"/>
    <col min="9220" max="9220" width="12.85546875" style="69" customWidth="1"/>
    <col min="9221" max="9221" width="13" style="69" customWidth="1"/>
    <col min="9222" max="9222" width="14.7109375" style="69" customWidth="1"/>
    <col min="9223" max="9223" width="14.7109375" style="69" bestFit="1" customWidth="1"/>
    <col min="9224" max="9226" width="15.85546875" style="69" bestFit="1" customWidth="1"/>
    <col min="9227" max="9473" width="9.140625" style="69"/>
    <col min="9474" max="9474" width="5.7109375" style="69" customWidth="1"/>
    <col min="9475" max="9475" width="31.5703125" style="69" customWidth="1"/>
    <col min="9476" max="9476" width="12.85546875" style="69" customWidth="1"/>
    <col min="9477" max="9477" width="13" style="69" customWidth="1"/>
    <col min="9478" max="9478" width="14.7109375" style="69" customWidth="1"/>
    <col min="9479" max="9479" width="14.7109375" style="69" bestFit="1" customWidth="1"/>
    <col min="9480" max="9482" width="15.85546875" style="69" bestFit="1" customWidth="1"/>
    <col min="9483" max="9729" width="9.140625" style="69"/>
    <col min="9730" max="9730" width="5.7109375" style="69" customWidth="1"/>
    <col min="9731" max="9731" width="31.5703125" style="69" customWidth="1"/>
    <col min="9732" max="9732" width="12.85546875" style="69" customWidth="1"/>
    <col min="9733" max="9733" width="13" style="69" customWidth="1"/>
    <col min="9734" max="9734" width="14.7109375" style="69" customWidth="1"/>
    <col min="9735" max="9735" width="14.7109375" style="69" bestFit="1" customWidth="1"/>
    <col min="9736" max="9738" width="15.85546875" style="69" bestFit="1" customWidth="1"/>
    <col min="9739" max="9985" width="9.140625" style="69"/>
    <col min="9986" max="9986" width="5.7109375" style="69" customWidth="1"/>
    <col min="9987" max="9987" width="31.5703125" style="69" customWidth="1"/>
    <col min="9988" max="9988" width="12.85546875" style="69" customWidth="1"/>
    <col min="9989" max="9989" width="13" style="69" customWidth="1"/>
    <col min="9990" max="9990" width="14.7109375" style="69" customWidth="1"/>
    <col min="9991" max="9991" width="14.7109375" style="69" bestFit="1" customWidth="1"/>
    <col min="9992" max="9994" width="15.85546875" style="69" bestFit="1" customWidth="1"/>
    <col min="9995" max="10241" width="9.140625" style="69"/>
    <col min="10242" max="10242" width="5.7109375" style="69" customWidth="1"/>
    <col min="10243" max="10243" width="31.5703125" style="69" customWidth="1"/>
    <col min="10244" max="10244" width="12.85546875" style="69" customWidth="1"/>
    <col min="10245" max="10245" width="13" style="69" customWidth="1"/>
    <col min="10246" max="10246" width="14.7109375" style="69" customWidth="1"/>
    <col min="10247" max="10247" width="14.7109375" style="69" bestFit="1" customWidth="1"/>
    <col min="10248" max="10250" width="15.85546875" style="69" bestFit="1" customWidth="1"/>
    <col min="10251" max="10497" width="9.140625" style="69"/>
    <col min="10498" max="10498" width="5.7109375" style="69" customWidth="1"/>
    <col min="10499" max="10499" width="31.5703125" style="69" customWidth="1"/>
    <col min="10500" max="10500" width="12.85546875" style="69" customWidth="1"/>
    <col min="10501" max="10501" width="13" style="69" customWidth="1"/>
    <col min="10502" max="10502" width="14.7109375" style="69" customWidth="1"/>
    <col min="10503" max="10503" width="14.7109375" style="69" bestFit="1" customWidth="1"/>
    <col min="10504" max="10506" width="15.85546875" style="69" bestFit="1" customWidth="1"/>
    <col min="10507" max="10753" width="9.140625" style="69"/>
    <col min="10754" max="10754" width="5.7109375" style="69" customWidth="1"/>
    <col min="10755" max="10755" width="31.5703125" style="69" customWidth="1"/>
    <col min="10756" max="10756" width="12.85546875" style="69" customWidth="1"/>
    <col min="10757" max="10757" width="13" style="69" customWidth="1"/>
    <col min="10758" max="10758" width="14.7109375" style="69" customWidth="1"/>
    <col min="10759" max="10759" width="14.7109375" style="69" bestFit="1" customWidth="1"/>
    <col min="10760" max="10762" width="15.85546875" style="69" bestFit="1" customWidth="1"/>
    <col min="10763" max="11009" width="9.140625" style="69"/>
    <col min="11010" max="11010" width="5.7109375" style="69" customWidth="1"/>
    <col min="11011" max="11011" width="31.5703125" style="69" customWidth="1"/>
    <col min="11012" max="11012" width="12.85546875" style="69" customWidth="1"/>
    <col min="11013" max="11013" width="13" style="69" customWidth="1"/>
    <col min="11014" max="11014" width="14.7109375" style="69" customWidth="1"/>
    <col min="11015" max="11015" width="14.7109375" style="69" bestFit="1" customWidth="1"/>
    <col min="11016" max="11018" width="15.85546875" style="69" bestFit="1" customWidth="1"/>
    <col min="11019" max="11265" width="9.140625" style="69"/>
    <col min="11266" max="11266" width="5.7109375" style="69" customWidth="1"/>
    <col min="11267" max="11267" width="31.5703125" style="69" customWidth="1"/>
    <col min="11268" max="11268" width="12.85546875" style="69" customWidth="1"/>
    <col min="11269" max="11269" width="13" style="69" customWidth="1"/>
    <col min="11270" max="11270" width="14.7109375" style="69" customWidth="1"/>
    <col min="11271" max="11271" width="14.7109375" style="69" bestFit="1" customWidth="1"/>
    <col min="11272" max="11274" width="15.85546875" style="69" bestFit="1" customWidth="1"/>
    <col min="11275" max="11521" width="9.140625" style="69"/>
    <col min="11522" max="11522" width="5.7109375" style="69" customWidth="1"/>
    <col min="11523" max="11523" width="31.5703125" style="69" customWidth="1"/>
    <col min="11524" max="11524" width="12.85546875" style="69" customWidth="1"/>
    <col min="11525" max="11525" width="13" style="69" customWidth="1"/>
    <col min="11526" max="11526" width="14.7109375" style="69" customWidth="1"/>
    <col min="11527" max="11527" width="14.7109375" style="69" bestFit="1" customWidth="1"/>
    <col min="11528" max="11530" width="15.85546875" style="69" bestFit="1" customWidth="1"/>
    <col min="11531" max="11777" width="9.140625" style="69"/>
    <col min="11778" max="11778" width="5.7109375" style="69" customWidth="1"/>
    <col min="11779" max="11779" width="31.5703125" style="69" customWidth="1"/>
    <col min="11780" max="11780" width="12.85546875" style="69" customWidth="1"/>
    <col min="11781" max="11781" width="13" style="69" customWidth="1"/>
    <col min="11782" max="11782" width="14.7109375" style="69" customWidth="1"/>
    <col min="11783" max="11783" width="14.7109375" style="69" bestFit="1" customWidth="1"/>
    <col min="11784" max="11786" width="15.85546875" style="69" bestFit="1" customWidth="1"/>
    <col min="11787" max="12033" width="9.140625" style="69"/>
    <col min="12034" max="12034" width="5.7109375" style="69" customWidth="1"/>
    <col min="12035" max="12035" width="31.5703125" style="69" customWidth="1"/>
    <col min="12036" max="12036" width="12.85546875" style="69" customWidth="1"/>
    <col min="12037" max="12037" width="13" style="69" customWidth="1"/>
    <col min="12038" max="12038" width="14.7109375" style="69" customWidth="1"/>
    <col min="12039" max="12039" width="14.7109375" style="69" bestFit="1" customWidth="1"/>
    <col min="12040" max="12042" width="15.85546875" style="69" bestFit="1" customWidth="1"/>
    <col min="12043" max="12289" width="9.140625" style="69"/>
    <col min="12290" max="12290" width="5.7109375" style="69" customWidth="1"/>
    <col min="12291" max="12291" width="31.5703125" style="69" customWidth="1"/>
    <col min="12292" max="12292" width="12.85546875" style="69" customWidth="1"/>
    <col min="12293" max="12293" width="13" style="69" customWidth="1"/>
    <col min="12294" max="12294" width="14.7109375" style="69" customWidth="1"/>
    <col min="12295" max="12295" width="14.7109375" style="69" bestFit="1" customWidth="1"/>
    <col min="12296" max="12298" width="15.85546875" style="69" bestFit="1" customWidth="1"/>
    <col min="12299" max="12545" width="9.140625" style="69"/>
    <col min="12546" max="12546" width="5.7109375" style="69" customWidth="1"/>
    <col min="12547" max="12547" width="31.5703125" style="69" customWidth="1"/>
    <col min="12548" max="12548" width="12.85546875" style="69" customWidth="1"/>
    <col min="12549" max="12549" width="13" style="69" customWidth="1"/>
    <col min="12550" max="12550" width="14.7109375" style="69" customWidth="1"/>
    <col min="12551" max="12551" width="14.7109375" style="69" bestFit="1" customWidth="1"/>
    <col min="12552" max="12554" width="15.85546875" style="69" bestFit="1" customWidth="1"/>
    <col min="12555" max="12801" width="9.140625" style="69"/>
    <col min="12802" max="12802" width="5.7109375" style="69" customWidth="1"/>
    <col min="12803" max="12803" width="31.5703125" style="69" customWidth="1"/>
    <col min="12804" max="12804" width="12.85546875" style="69" customWidth="1"/>
    <col min="12805" max="12805" width="13" style="69" customWidth="1"/>
    <col min="12806" max="12806" width="14.7109375" style="69" customWidth="1"/>
    <col min="12807" max="12807" width="14.7109375" style="69" bestFit="1" customWidth="1"/>
    <col min="12808" max="12810" width="15.85546875" style="69" bestFit="1" customWidth="1"/>
    <col min="12811" max="13057" width="9.140625" style="69"/>
    <col min="13058" max="13058" width="5.7109375" style="69" customWidth="1"/>
    <col min="13059" max="13059" width="31.5703125" style="69" customWidth="1"/>
    <col min="13060" max="13060" width="12.85546875" style="69" customWidth="1"/>
    <col min="13061" max="13061" width="13" style="69" customWidth="1"/>
    <col min="13062" max="13062" width="14.7109375" style="69" customWidth="1"/>
    <col min="13063" max="13063" width="14.7109375" style="69" bestFit="1" customWidth="1"/>
    <col min="13064" max="13066" width="15.85546875" style="69" bestFit="1" customWidth="1"/>
    <col min="13067" max="13313" width="9.140625" style="69"/>
    <col min="13314" max="13314" width="5.7109375" style="69" customWidth="1"/>
    <col min="13315" max="13315" width="31.5703125" style="69" customWidth="1"/>
    <col min="13316" max="13316" width="12.85546875" style="69" customWidth="1"/>
    <col min="13317" max="13317" width="13" style="69" customWidth="1"/>
    <col min="13318" max="13318" width="14.7109375" style="69" customWidth="1"/>
    <col min="13319" max="13319" width="14.7109375" style="69" bestFit="1" customWidth="1"/>
    <col min="13320" max="13322" width="15.85546875" style="69" bestFit="1" customWidth="1"/>
    <col min="13323" max="13569" width="9.140625" style="69"/>
    <col min="13570" max="13570" width="5.7109375" style="69" customWidth="1"/>
    <col min="13571" max="13571" width="31.5703125" style="69" customWidth="1"/>
    <col min="13572" max="13572" width="12.85546875" style="69" customWidth="1"/>
    <col min="13573" max="13573" width="13" style="69" customWidth="1"/>
    <col min="13574" max="13574" width="14.7109375" style="69" customWidth="1"/>
    <col min="13575" max="13575" width="14.7109375" style="69" bestFit="1" customWidth="1"/>
    <col min="13576" max="13578" width="15.85546875" style="69" bestFit="1" customWidth="1"/>
    <col min="13579" max="13825" width="9.140625" style="69"/>
    <col min="13826" max="13826" width="5.7109375" style="69" customWidth="1"/>
    <col min="13827" max="13827" width="31.5703125" style="69" customWidth="1"/>
    <col min="13828" max="13828" width="12.85546875" style="69" customWidth="1"/>
    <col min="13829" max="13829" width="13" style="69" customWidth="1"/>
    <col min="13830" max="13830" width="14.7109375" style="69" customWidth="1"/>
    <col min="13831" max="13831" width="14.7109375" style="69" bestFit="1" customWidth="1"/>
    <col min="13832" max="13834" width="15.85546875" style="69" bestFit="1" customWidth="1"/>
    <col min="13835" max="14081" width="9.140625" style="69"/>
    <col min="14082" max="14082" width="5.7109375" style="69" customWidth="1"/>
    <col min="14083" max="14083" width="31.5703125" style="69" customWidth="1"/>
    <col min="14084" max="14084" width="12.85546875" style="69" customWidth="1"/>
    <col min="14085" max="14085" width="13" style="69" customWidth="1"/>
    <col min="14086" max="14086" width="14.7109375" style="69" customWidth="1"/>
    <col min="14087" max="14087" width="14.7109375" style="69" bestFit="1" customWidth="1"/>
    <col min="14088" max="14090" width="15.85546875" style="69" bestFit="1" customWidth="1"/>
    <col min="14091" max="14337" width="9.140625" style="69"/>
    <col min="14338" max="14338" width="5.7109375" style="69" customWidth="1"/>
    <col min="14339" max="14339" width="31.5703125" style="69" customWidth="1"/>
    <col min="14340" max="14340" width="12.85546875" style="69" customWidth="1"/>
    <col min="14341" max="14341" width="13" style="69" customWidth="1"/>
    <col min="14342" max="14342" width="14.7109375" style="69" customWidth="1"/>
    <col min="14343" max="14343" width="14.7109375" style="69" bestFit="1" customWidth="1"/>
    <col min="14344" max="14346" width="15.85546875" style="69" bestFit="1" customWidth="1"/>
    <col min="14347" max="14593" width="9.140625" style="69"/>
    <col min="14594" max="14594" width="5.7109375" style="69" customWidth="1"/>
    <col min="14595" max="14595" width="31.5703125" style="69" customWidth="1"/>
    <col min="14596" max="14596" width="12.85546875" style="69" customWidth="1"/>
    <col min="14597" max="14597" width="13" style="69" customWidth="1"/>
    <col min="14598" max="14598" width="14.7109375" style="69" customWidth="1"/>
    <col min="14599" max="14599" width="14.7109375" style="69" bestFit="1" customWidth="1"/>
    <col min="14600" max="14602" width="15.85546875" style="69" bestFit="1" customWidth="1"/>
    <col min="14603" max="14849" width="9.140625" style="69"/>
    <col min="14850" max="14850" width="5.7109375" style="69" customWidth="1"/>
    <col min="14851" max="14851" width="31.5703125" style="69" customWidth="1"/>
    <col min="14852" max="14852" width="12.85546875" style="69" customWidth="1"/>
    <col min="14853" max="14853" width="13" style="69" customWidth="1"/>
    <col min="14854" max="14854" width="14.7109375" style="69" customWidth="1"/>
    <col min="14855" max="14855" width="14.7109375" style="69" bestFit="1" customWidth="1"/>
    <col min="14856" max="14858" width="15.85546875" style="69" bestFit="1" customWidth="1"/>
    <col min="14859" max="15105" width="9.140625" style="69"/>
    <col min="15106" max="15106" width="5.7109375" style="69" customWidth="1"/>
    <col min="15107" max="15107" width="31.5703125" style="69" customWidth="1"/>
    <col min="15108" max="15108" width="12.85546875" style="69" customWidth="1"/>
    <col min="15109" max="15109" width="13" style="69" customWidth="1"/>
    <col min="15110" max="15110" width="14.7109375" style="69" customWidth="1"/>
    <col min="15111" max="15111" width="14.7109375" style="69" bestFit="1" customWidth="1"/>
    <col min="15112" max="15114" width="15.85546875" style="69" bestFit="1" customWidth="1"/>
    <col min="15115" max="15361" width="9.140625" style="69"/>
    <col min="15362" max="15362" width="5.7109375" style="69" customWidth="1"/>
    <col min="15363" max="15363" width="31.5703125" style="69" customWidth="1"/>
    <col min="15364" max="15364" width="12.85546875" style="69" customWidth="1"/>
    <col min="15365" max="15365" width="13" style="69" customWidth="1"/>
    <col min="15366" max="15366" width="14.7109375" style="69" customWidth="1"/>
    <col min="15367" max="15367" width="14.7109375" style="69" bestFit="1" customWidth="1"/>
    <col min="15368" max="15370" width="15.85546875" style="69" bestFit="1" customWidth="1"/>
    <col min="15371" max="15617" width="9.140625" style="69"/>
    <col min="15618" max="15618" width="5.7109375" style="69" customWidth="1"/>
    <col min="15619" max="15619" width="31.5703125" style="69" customWidth="1"/>
    <col min="15620" max="15620" width="12.85546875" style="69" customWidth="1"/>
    <col min="15621" max="15621" width="13" style="69" customWidth="1"/>
    <col min="15622" max="15622" width="14.7109375" style="69" customWidth="1"/>
    <col min="15623" max="15623" width="14.7109375" style="69" bestFit="1" customWidth="1"/>
    <col min="15624" max="15626" width="15.85546875" style="69" bestFit="1" customWidth="1"/>
    <col min="15627" max="15873" width="9.140625" style="69"/>
    <col min="15874" max="15874" width="5.7109375" style="69" customWidth="1"/>
    <col min="15875" max="15875" width="31.5703125" style="69" customWidth="1"/>
    <col min="15876" max="15876" width="12.85546875" style="69" customWidth="1"/>
    <col min="15877" max="15877" width="13" style="69" customWidth="1"/>
    <col min="15878" max="15878" width="14.7109375" style="69" customWidth="1"/>
    <col min="15879" max="15879" width="14.7109375" style="69" bestFit="1" customWidth="1"/>
    <col min="15880" max="15882" width="15.85546875" style="69" bestFit="1" customWidth="1"/>
    <col min="15883" max="16129" width="9.140625" style="69"/>
    <col min="16130" max="16130" width="5.7109375" style="69" customWidth="1"/>
    <col min="16131" max="16131" width="31.5703125" style="69" customWidth="1"/>
    <col min="16132" max="16132" width="12.85546875" style="69" customWidth="1"/>
    <col min="16133" max="16133" width="13" style="69" customWidth="1"/>
    <col min="16134" max="16134" width="14.7109375" style="69" customWidth="1"/>
    <col min="16135" max="16135" width="14.7109375" style="69" bestFit="1" customWidth="1"/>
    <col min="16136" max="16138" width="15.85546875" style="69" bestFit="1" customWidth="1"/>
    <col min="16139" max="16384" width="9.140625" style="69"/>
  </cols>
  <sheetData>
    <row r="2" spans="1:9" x14ac:dyDescent="0.2">
      <c r="A2" s="218" t="s">
        <v>326</v>
      </c>
      <c r="B2" s="218"/>
      <c r="C2" s="218"/>
      <c r="D2" s="218"/>
      <c r="E2" s="218"/>
      <c r="F2" s="218"/>
      <c r="G2" s="218"/>
      <c r="H2" s="218"/>
      <c r="I2" s="218"/>
    </row>
    <row r="3" spans="1:9" ht="30" x14ac:dyDescent="0.2">
      <c r="A3" s="153" t="s">
        <v>83</v>
      </c>
      <c r="B3" s="153" t="s">
        <v>130</v>
      </c>
      <c r="C3" s="153" t="s">
        <v>132</v>
      </c>
      <c r="D3" s="153" t="s">
        <v>142</v>
      </c>
      <c r="E3" s="153" t="s">
        <v>328</v>
      </c>
      <c r="F3" s="153" t="s">
        <v>329</v>
      </c>
      <c r="G3" s="153" t="s">
        <v>327</v>
      </c>
      <c r="H3" s="153" t="s">
        <v>229</v>
      </c>
      <c r="I3" s="153" t="s">
        <v>228</v>
      </c>
    </row>
    <row r="4" spans="1:9" ht="15" x14ac:dyDescent="0.2">
      <c r="A4" s="168">
        <v>1</v>
      </c>
      <c r="B4" s="168" t="s">
        <v>143</v>
      </c>
      <c r="C4" s="168">
        <v>16578</v>
      </c>
      <c r="D4" s="168" t="s">
        <v>147</v>
      </c>
      <c r="E4" s="168">
        <v>1</v>
      </c>
      <c r="F4" s="168">
        <v>10</v>
      </c>
      <c r="G4" s="173">
        <f>'Resumo '!H4</f>
        <v>12361.878046818538</v>
      </c>
      <c r="H4" s="171">
        <f>F4*G4</f>
        <v>123618.78046818537</v>
      </c>
      <c r="I4" s="171">
        <f>H4*12</f>
        <v>1483425.3656182245</v>
      </c>
    </row>
    <row r="5" spans="1:9" ht="15" x14ac:dyDescent="0.2">
      <c r="A5" s="168">
        <v>2</v>
      </c>
      <c r="B5" s="168" t="s">
        <v>144</v>
      </c>
      <c r="C5" s="168">
        <v>16578</v>
      </c>
      <c r="D5" s="168" t="s">
        <v>147</v>
      </c>
      <c r="E5" s="168">
        <v>1</v>
      </c>
      <c r="F5" s="168">
        <v>10</v>
      </c>
      <c r="G5" s="173">
        <f>'Resumo '!H5</f>
        <v>9668.8932712355654</v>
      </c>
      <c r="H5" s="171">
        <f t="shared" ref="H5:H12" si="0">F5*G5</f>
        <v>96688.932712355658</v>
      </c>
      <c r="I5" s="171">
        <f t="shared" ref="I5:I13" si="1">H5*12</f>
        <v>1160267.192548268</v>
      </c>
    </row>
    <row r="6" spans="1:9" ht="15" x14ac:dyDescent="0.2">
      <c r="A6" s="168">
        <v>3</v>
      </c>
      <c r="B6" s="168" t="s">
        <v>145</v>
      </c>
      <c r="C6" s="168">
        <v>5380</v>
      </c>
      <c r="D6" s="168" t="s">
        <v>147</v>
      </c>
      <c r="E6" s="168">
        <v>4</v>
      </c>
      <c r="F6" s="168">
        <v>50</v>
      </c>
      <c r="G6" s="173">
        <f>'Resumo '!H6</f>
        <v>8987.4796959339546</v>
      </c>
      <c r="H6" s="171">
        <f t="shared" si="0"/>
        <v>449373.98479669774</v>
      </c>
      <c r="I6" s="171">
        <f t="shared" si="1"/>
        <v>5392487.8175603729</v>
      </c>
    </row>
    <row r="7" spans="1:9" ht="15" x14ac:dyDescent="0.2">
      <c r="A7" s="168">
        <v>4</v>
      </c>
      <c r="B7" s="168" t="s">
        <v>146</v>
      </c>
      <c r="C7" s="168">
        <v>25623</v>
      </c>
      <c r="D7" s="168" t="s">
        <v>147</v>
      </c>
      <c r="E7" s="168">
        <v>1</v>
      </c>
      <c r="F7" s="168">
        <v>5</v>
      </c>
      <c r="G7" s="173">
        <f>'Resumo '!H7</f>
        <v>6190.085014315172</v>
      </c>
      <c r="H7" s="171">
        <f t="shared" si="0"/>
        <v>30950.425071575861</v>
      </c>
      <c r="I7" s="171">
        <f t="shared" si="1"/>
        <v>371405.10085891036</v>
      </c>
    </row>
    <row r="8" spans="1:9" ht="15" x14ac:dyDescent="0.2">
      <c r="A8" s="168">
        <v>5</v>
      </c>
      <c r="B8" s="168" t="s">
        <v>85</v>
      </c>
      <c r="C8" s="168">
        <v>8729</v>
      </c>
      <c r="D8" s="168" t="s">
        <v>147</v>
      </c>
      <c r="E8" s="168">
        <v>2</v>
      </c>
      <c r="F8" s="168">
        <v>8</v>
      </c>
      <c r="G8" s="173">
        <f>'Resumo '!H8</f>
        <v>5384.1755683666661</v>
      </c>
      <c r="H8" s="171">
        <f t="shared" si="0"/>
        <v>43073.404546933329</v>
      </c>
      <c r="I8" s="171">
        <f t="shared" si="1"/>
        <v>516880.85456319991</v>
      </c>
    </row>
    <row r="9" spans="1:9" ht="15" x14ac:dyDescent="0.2">
      <c r="A9" s="168">
        <v>6</v>
      </c>
      <c r="B9" s="168" t="s">
        <v>87</v>
      </c>
      <c r="C9" s="168">
        <v>5380</v>
      </c>
      <c r="D9" s="168" t="s">
        <v>147</v>
      </c>
      <c r="E9" s="168">
        <v>1</v>
      </c>
      <c r="F9" s="168">
        <v>5</v>
      </c>
      <c r="G9" s="173">
        <f>'Resumo '!H9</f>
        <v>4802.9244072660749</v>
      </c>
      <c r="H9" s="171">
        <f t="shared" si="0"/>
        <v>24014.622036330373</v>
      </c>
      <c r="I9" s="171">
        <f t="shared" si="1"/>
        <v>288175.46443596447</v>
      </c>
    </row>
    <row r="10" spans="1:9" ht="15" x14ac:dyDescent="0.2">
      <c r="A10" s="168">
        <v>7</v>
      </c>
      <c r="B10" s="168" t="s">
        <v>149</v>
      </c>
      <c r="C10" s="168">
        <v>14907</v>
      </c>
      <c r="D10" s="168" t="s">
        <v>147</v>
      </c>
      <c r="E10" s="168">
        <v>1</v>
      </c>
      <c r="F10" s="168">
        <v>3</v>
      </c>
      <c r="G10" s="173">
        <f>'Resumo '!H10</f>
        <v>5833.9528185458839</v>
      </c>
      <c r="H10" s="171">
        <f t="shared" si="0"/>
        <v>17501.858455637652</v>
      </c>
      <c r="I10" s="171">
        <f t="shared" si="1"/>
        <v>210022.30146765182</v>
      </c>
    </row>
    <row r="11" spans="1:9" ht="15" x14ac:dyDescent="0.2">
      <c r="A11" s="168">
        <v>8</v>
      </c>
      <c r="B11" s="168" t="s">
        <v>86</v>
      </c>
      <c r="C11" s="168">
        <v>14397</v>
      </c>
      <c r="D11" s="168" t="s">
        <v>147</v>
      </c>
      <c r="E11" s="168">
        <v>1</v>
      </c>
      <c r="F11" s="168">
        <v>6</v>
      </c>
      <c r="G11" s="173">
        <f>'Resumo '!H11</f>
        <v>4514.5019222718365</v>
      </c>
      <c r="H11" s="171">
        <f t="shared" si="0"/>
        <v>27087.011533631019</v>
      </c>
      <c r="I11" s="171">
        <f t="shared" si="1"/>
        <v>325044.13840357226</v>
      </c>
    </row>
    <row r="12" spans="1:9" ht="15" x14ac:dyDescent="0.2">
      <c r="A12" s="168">
        <v>9</v>
      </c>
      <c r="B12" s="168" t="s">
        <v>295</v>
      </c>
      <c r="C12" s="168">
        <v>15890</v>
      </c>
      <c r="D12" s="168" t="s">
        <v>147</v>
      </c>
      <c r="E12" s="168">
        <v>1</v>
      </c>
      <c r="F12" s="168">
        <v>6</v>
      </c>
      <c r="G12" s="173">
        <f>'Resumo '!H12</f>
        <v>4546.4066259284846</v>
      </c>
      <c r="H12" s="171">
        <f t="shared" si="0"/>
        <v>27278.439755570907</v>
      </c>
      <c r="I12" s="171">
        <f t="shared" si="1"/>
        <v>327341.27706685092</v>
      </c>
    </row>
    <row r="13" spans="1:9" ht="90" x14ac:dyDescent="0.2">
      <c r="A13" s="168">
        <v>10</v>
      </c>
      <c r="B13" s="172" t="s">
        <v>330</v>
      </c>
      <c r="C13" s="168">
        <v>5380</v>
      </c>
      <c r="D13" s="168" t="s">
        <v>168</v>
      </c>
      <c r="E13" s="168">
        <v>1</v>
      </c>
      <c r="F13" s="169">
        <v>77935</v>
      </c>
      <c r="G13" s="173">
        <f>'Resumo '!H13</f>
        <v>1</v>
      </c>
      <c r="H13" s="171">
        <f>F13*G13</f>
        <v>77935</v>
      </c>
      <c r="I13" s="171">
        <f t="shared" si="1"/>
        <v>935220</v>
      </c>
    </row>
    <row r="14" spans="1:9" x14ac:dyDescent="0.2">
      <c r="A14" s="218" t="s">
        <v>325</v>
      </c>
      <c r="B14" s="218"/>
      <c r="C14" s="218"/>
      <c r="D14" s="218"/>
      <c r="E14" s="218"/>
      <c r="F14" s="218"/>
      <c r="G14" s="218"/>
      <c r="H14" s="218"/>
      <c r="I14" s="170">
        <f>SUM(I4:I13)</f>
        <v>11010269.512523014</v>
      </c>
    </row>
  </sheetData>
  <mergeCells count="2">
    <mergeCell ref="A14:H14"/>
    <mergeCell ref="A2:I2"/>
  </mergeCells>
  <pageMargins left="0.511811024" right="0.511811024" top="0.78740157499999996" bottom="0.78740157499999996" header="0.31496062000000002" footer="0.31496062000000002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53"/>
  <sheetViews>
    <sheetView showGridLines="0" view="pageBreakPreview" topLeftCell="A100" zoomScaleNormal="115" zoomScaleSheetLayoutView="100" workbookViewId="0">
      <selection activeCell="D123" sqref="D123"/>
    </sheetView>
  </sheetViews>
  <sheetFormatPr defaultColWidth="9.140625" defaultRowHeight="15.75" x14ac:dyDescent="0.25"/>
  <cols>
    <col min="1" max="1" width="9.140625" style="8"/>
    <col min="2" max="2" width="72.140625" style="8" customWidth="1"/>
    <col min="3" max="3" width="15.5703125" style="8" customWidth="1"/>
    <col min="4" max="4" width="26.85546875" style="8" customWidth="1"/>
    <col min="5" max="5" width="2" style="8" customWidth="1"/>
    <col min="6" max="6" width="38.42578125" style="8" customWidth="1"/>
    <col min="7" max="7" width="15.140625" style="8" customWidth="1"/>
    <col min="8" max="16384" width="9.140625" style="8"/>
  </cols>
  <sheetData>
    <row r="1" spans="1:4" ht="23.25" x14ac:dyDescent="0.35">
      <c r="A1" s="232" t="s">
        <v>79</v>
      </c>
      <c r="B1" s="232"/>
      <c r="C1" s="232"/>
      <c r="D1" s="232"/>
    </row>
    <row r="2" spans="1:4" ht="23.25" x14ac:dyDescent="0.35">
      <c r="A2" s="232" t="s">
        <v>80</v>
      </c>
      <c r="B2" s="232"/>
      <c r="C2" s="232"/>
      <c r="D2" s="232"/>
    </row>
    <row r="3" spans="1:4" x14ac:dyDescent="0.25">
      <c r="A3" s="233" t="s">
        <v>81</v>
      </c>
      <c r="B3" s="233"/>
      <c r="C3" s="233"/>
      <c r="D3" s="233"/>
    </row>
    <row r="4" spans="1:4" x14ac:dyDescent="0.25">
      <c r="A4" s="58"/>
      <c r="B4" s="58"/>
      <c r="C4" s="58"/>
      <c r="D4" s="58"/>
    </row>
    <row r="5" spans="1:4" x14ac:dyDescent="0.25">
      <c r="A5" s="235" t="s">
        <v>135</v>
      </c>
      <c r="B5" s="235"/>
      <c r="C5" s="235"/>
      <c r="D5" s="235"/>
    </row>
    <row r="6" spans="1:4" x14ac:dyDescent="0.25">
      <c r="A6" s="26" t="s">
        <v>14</v>
      </c>
      <c r="B6" s="62" t="s">
        <v>137</v>
      </c>
      <c r="C6" s="236" t="s">
        <v>157</v>
      </c>
      <c r="D6" s="225"/>
    </row>
    <row r="7" spans="1:4" x14ac:dyDescent="0.25">
      <c r="A7" s="26" t="s">
        <v>16</v>
      </c>
      <c r="B7" s="62" t="s">
        <v>141</v>
      </c>
      <c r="C7" s="224" t="s">
        <v>156</v>
      </c>
      <c r="D7" s="225"/>
    </row>
    <row r="8" spans="1:4" x14ac:dyDescent="0.25">
      <c r="A8" s="26" t="s">
        <v>18</v>
      </c>
      <c r="B8" s="62" t="s">
        <v>140</v>
      </c>
      <c r="C8" s="222">
        <v>5123.3329999999996</v>
      </c>
      <c r="D8" s="223"/>
    </row>
    <row r="9" spans="1:4" x14ac:dyDescent="0.25">
      <c r="A9" s="26" t="s">
        <v>20</v>
      </c>
      <c r="B9" s="62" t="s">
        <v>138</v>
      </c>
      <c r="C9" s="224" t="s">
        <v>340</v>
      </c>
      <c r="D9" s="225"/>
    </row>
    <row r="10" spans="1:4" x14ac:dyDescent="0.25">
      <c r="A10" s="26" t="s">
        <v>21</v>
      </c>
      <c r="B10" s="62" t="s">
        <v>139</v>
      </c>
      <c r="C10" s="230">
        <v>45658</v>
      </c>
      <c r="D10" s="225"/>
    </row>
    <row r="11" spans="1:4" x14ac:dyDescent="0.25">
      <c r="A11" s="26" t="s">
        <v>23</v>
      </c>
      <c r="B11" s="62" t="s">
        <v>136</v>
      </c>
      <c r="C11" s="224">
        <v>12</v>
      </c>
      <c r="D11" s="225"/>
    </row>
    <row r="12" spans="1:4" x14ac:dyDescent="0.25">
      <c r="A12" s="59"/>
      <c r="B12" s="60"/>
      <c r="C12" s="61"/>
      <c r="D12" s="61"/>
    </row>
    <row r="13" spans="1:4" ht="20.45" customHeight="1" x14ac:dyDescent="0.25"/>
    <row r="14" spans="1:4" x14ac:dyDescent="0.25">
      <c r="A14" s="234" t="s">
        <v>11</v>
      </c>
      <c r="B14" s="234"/>
      <c r="C14" s="234"/>
      <c r="D14" s="234"/>
    </row>
    <row r="16" spans="1:4" x14ac:dyDescent="0.25">
      <c r="A16" s="35">
        <v>1</v>
      </c>
      <c r="B16" s="35" t="s">
        <v>12</v>
      </c>
      <c r="C16" s="18"/>
      <c r="D16" s="35" t="s">
        <v>13</v>
      </c>
    </row>
    <row r="17" spans="1:4" ht="16.5" thickBot="1" x14ac:dyDescent="0.3">
      <c r="A17" s="26" t="s">
        <v>14</v>
      </c>
      <c r="B17" s="27" t="s">
        <v>15</v>
      </c>
      <c r="C17" s="18"/>
      <c r="D17" s="11">
        <f>C8</f>
        <v>5123.3329999999996</v>
      </c>
    </row>
    <row r="18" spans="1:4" x14ac:dyDescent="0.25">
      <c r="A18" s="26" t="s">
        <v>16</v>
      </c>
      <c r="B18" s="27" t="s">
        <v>17</v>
      </c>
      <c r="C18" s="18"/>
      <c r="D18" s="22"/>
    </row>
    <row r="19" spans="1:4" x14ac:dyDescent="0.25">
      <c r="A19" s="26" t="s">
        <v>18</v>
      </c>
      <c r="B19" s="27" t="s">
        <v>19</v>
      </c>
      <c r="C19" s="18"/>
      <c r="D19" s="22"/>
    </row>
    <row r="20" spans="1:4" x14ac:dyDescent="0.25">
      <c r="A20" s="26" t="s">
        <v>20</v>
      </c>
      <c r="B20" s="27" t="s">
        <v>0</v>
      </c>
      <c r="C20" s="18"/>
      <c r="D20" s="22"/>
    </row>
    <row r="21" spans="1:4" x14ac:dyDescent="0.25">
      <c r="A21" s="26" t="s">
        <v>21</v>
      </c>
      <c r="B21" s="27" t="s">
        <v>22</v>
      </c>
      <c r="C21" s="18"/>
      <c r="D21" s="22"/>
    </row>
    <row r="22" spans="1:4" x14ac:dyDescent="0.25">
      <c r="A22" s="26"/>
      <c r="B22" s="27"/>
      <c r="C22" s="18"/>
      <c r="D22" s="22"/>
    </row>
    <row r="23" spans="1:4" x14ac:dyDescent="0.25">
      <c r="A23" s="26" t="s">
        <v>24</v>
      </c>
      <c r="B23" s="27" t="s">
        <v>25</v>
      </c>
      <c r="C23" s="18"/>
      <c r="D23" s="22"/>
    </row>
    <row r="24" spans="1:4" x14ac:dyDescent="0.25">
      <c r="A24" s="219" t="s">
        <v>1</v>
      </c>
      <c r="B24" s="219"/>
      <c r="C24" s="55"/>
      <c r="D24" s="29">
        <f>SUM(D17:D23)</f>
        <v>5123.3329999999996</v>
      </c>
    </row>
    <row r="26" spans="1:4" ht="5.45" customHeight="1" x14ac:dyDescent="0.25"/>
    <row r="27" spans="1:4" x14ac:dyDescent="0.25">
      <c r="A27" s="229" t="s">
        <v>26</v>
      </c>
      <c r="B27" s="229"/>
      <c r="C27" s="229"/>
      <c r="D27" s="229"/>
    </row>
    <row r="28" spans="1:4" x14ac:dyDescent="0.25">
      <c r="A28" s="2"/>
    </row>
    <row r="29" spans="1:4" x14ac:dyDescent="0.25">
      <c r="A29" s="228" t="s">
        <v>27</v>
      </c>
      <c r="B29" s="228"/>
      <c r="C29" s="228"/>
      <c r="D29" s="228"/>
    </row>
    <row r="30" spans="1:4" ht="16.5" thickBot="1" x14ac:dyDescent="0.3"/>
    <row r="31" spans="1:4" ht="16.5" thickBot="1" x14ac:dyDescent="0.3">
      <c r="A31" s="3" t="s">
        <v>28</v>
      </c>
      <c r="B31" s="36" t="s">
        <v>29</v>
      </c>
      <c r="C31" s="20" t="s">
        <v>91</v>
      </c>
      <c r="D31" s="21" t="s">
        <v>13</v>
      </c>
    </row>
    <row r="32" spans="1:4" ht="16.5" thickBot="1" x14ac:dyDescent="0.3">
      <c r="A32" s="4" t="s">
        <v>14</v>
      </c>
      <c r="B32" s="19" t="s">
        <v>30</v>
      </c>
      <c r="C32" s="23">
        <f>1/12</f>
        <v>8.3333333333333329E-2</v>
      </c>
      <c r="D32" s="22">
        <f>C32*D24</f>
        <v>426.9444166666666</v>
      </c>
    </row>
    <row r="33" spans="1:4" ht="16.5" thickBot="1" x14ac:dyDescent="0.3">
      <c r="A33" s="4" t="s">
        <v>16</v>
      </c>
      <c r="B33" s="19" t="s">
        <v>31</v>
      </c>
      <c r="C33" s="24">
        <f>1/12+1/12*1/3</f>
        <v>0.1111111111111111</v>
      </c>
      <c r="D33" s="22">
        <f>D24*C33</f>
        <v>569.25922222222221</v>
      </c>
    </row>
    <row r="34" spans="1:4" ht="16.5" thickBot="1" x14ac:dyDescent="0.3">
      <c r="A34" s="220" t="s">
        <v>1</v>
      </c>
      <c r="B34" s="227"/>
      <c r="C34" s="23">
        <f>SUM(C32:C33)</f>
        <v>0.19444444444444442</v>
      </c>
      <c r="D34" s="22">
        <f>SUM(D32:D33)</f>
        <v>996.2036388888888</v>
      </c>
    </row>
    <row r="35" spans="1:4" ht="3" customHeight="1" x14ac:dyDescent="0.25"/>
    <row r="36" spans="1:4" ht="62.45" customHeight="1" x14ac:dyDescent="0.25">
      <c r="A36" s="226" t="s">
        <v>92</v>
      </c>
      <c r="B36" s="226"/>
      <c r="C36" s="226"/>
      <c r="D36" s="226"/>
    </row>
    <row r="37" spans="1:4" ht="56.45" customHeight="1" x14ac:dyDescent="0.25">
      <c r="A37" s="226" t="s">
        <v>93</v>
      </c>
      <c r="B37" s="226"/>
      <c r="C37" s="226"/>
      <c r="D37" s="226"/>
    </row>
    <row r="38" spans="1:4" ht="65.45" customHeight="1" x14ac:dyDescent="0.25">
      <c r="A38" s="226" t="s">
        <v>94</v>
      </c>
      <c r="B38" s="226"/>
      <c r="C38" s="226"/>
      <c r="D38" s="226"/>
    </row>
    <row r="39" spans="1:4" ht="3.6" customHeight="1" x14ac:dyDescent="0.25"/>
    <row r="40" spans="1:4" ht="32.25" customHeight="1" thickBot="1" x14ac:dyDescent="0.3">
      <c r="A40" s="231" t="s">
        <v>32</v>
      </c>
      <c r="B40" s="231"/>
      <c r="C40" s="231"/>
      <c r="D40" s="231"/>
    </row>
    <row r="41" spans="1:4" ht="33" customHeight="1" thickBot="1" x14ac:dyDescent="0.3">
      <c r="A41" s="3" t="s">
        <v>33</v>
      </c>
      <c r="B41" s="34" t="s">
        <v>34</v>
      </c>
      <c r="C41" s="34" t="s">
        <v>35</v>
      </c>
      <c r="D41" s="34" t="s">
        <v>13</v>
      </c>
    </row>
    <row r="42" spans="1:4" ht="16.5" thickBot="1" x14ac:dyDescent="0.3">
      <c r="A42" s="4" t="s">
        <v>14</v>
      </c>
      <c r="B42" s="5" t="s">
        <v>36</v>
      </c>
      <c r="C42" s="6">
        <v>0.2</v>
      </c>
      <c r="D42" s="11">
        <f t="shared" ref="D42:D49" si="0">($D$24+$D$34)*C42</f>
        <v>1223.9073277777777</v>
      </c>
    </row>
    <row r="43" spans="1:4" ht="16.5" thickBot="1" x14ac:dyDescent="0.3">
      <c r="A43" s="4" t="s">
        <v>16</v>
      </c>
      <c r="B43" s="5" t="s">
        <v>37</v>
      </c>
      <c r="C43" s="6">
        <v>2.5000000000000001E-2</v>
      </c>
      <c r="D43" s="11">
        <f t="shared" si="0"/>
        <v>152.98841597222221</v>
      </c>
    </row>
    <row r="44" spans="1:4" ht="16.5" thickBot="1" x14ac:dyDescent="0.3">
      <c r="A44" s="4" t="s">
        <v>18</v>
      </c>
      <c r="B44" s="5" t="s">
        <v>38</v>
      </c>
      <c r="C44" s="13">
        <v>0.03</v>
      </c>
      <c r="D44" s="11">
        <f t="shared" si="0"/>
        <v>183.58609916666666</v>
      </c>
    </row>
    <row r="45" spans="1:4" ht="16.5" thickBot="1" x14ac:dyDescent="0.3">
      <c r="A45" s="4" t="s">
        <v>20</v>
      </c>
      <c r="B45" s="5" t="s">
        <v>39</v>
      </c>
      <c r="C45" s="6">
        <v>1.4999999999999999E-2</v>
      </c>
      <c r="D45" s="11">
        <f t="shared" si="0"/>
        <v>91.793049583333328</v>
      </c>
    </row>
    <row r="46" spans="1:4" ht="16.5" thickBot="1" x14ac:dyDescent="0.3">
      <c r="A46" s="4" t="s">
        <v>21</v>
      </c>
      <c r="B46" s="5" t="s">
        <v>40</v>
      </c>
      <c r="C46" s="6">
        <v>0.01</v>
      </c>
      <c r="D46" s="11">
        <f t="shared" si="0"/>
        <v>61.195366388888885</v>
      </c>
    </row>
    <row r="47" spans="1:4" ht="16.5" thickBot="1" x14ac:dyDescent="0.3">
      <c r="A47" s="4" t="s">
        <v>23</v>
      </c>
      <c r="B47" s="5" t="s">
        <v>3</v>
      </c>
      <c r="C47" s="6">
        <v>6.0000000000000001E-3</v>
      </c>
      <c r="D47" s="11">
        <f t="shared" si="0"/>
        <v>36.717219833333331</v>
      </c>
    </row>
    <row r="48" spans="1:4" ht="16.5" thickBot="1" x14ac:dyDescent="0.3">
      <c r="A48" s="4" t="s">
        <v>24</v>
      </c>
      <c r="B48" s="5" t="s">
        <v>4</v>
      </c>
      <c r="C48" s="6">
        <v>2E-3</v>
      </c>
      <c r="D48" s="11">
        <f t="shared" si="0"/>
        <v>12.239073277777777</v>
      </c>
    </row>
    <row r="49" spans="1:6" ht="16.5" thickBot="1" x14ac:dyDescent="0.3">
      <c r="A49" s="4" t="s">
        <v>41</v>
      </c>
      <c r="B49" s="5" t="s">
        <v>5</v>
      </c>
      <c r="C49" s="6">
        <v>0.08</v>
      </c>
      <c r="D49" s="11">
        <f t="shared" si="0"/>
        <v>489.56293111111108</v>
      </c>
    </row>
    <row r="50" spans="1:6" ht="16.5" thickBot="1" x14ac:dyDescent="0.3">
      <c r="A50" s="220" t="s">
        <v>42</v>
      </c>
      <c r="B50" s="221"/>
      <c r="C50" s="6">
        <f>SUM(C42:C49)</f>
        <v>0.36800000000000005</v>
      </c>
      <c r="D50" s="11">
        <f>SUM(D42:D49)</f>
        <v>2251.989483111111</v>
      </c>
    </row>
    <row r="51" spans="1:6" ht="7.9" customHeight="1" x14ac:dyDescent="0.25"/>
    <row r="52" spans="1:6" ht="30.6" customHeight="1" x14ac:dyDescent="0.25">
      <c r="A52" s="226" t="s">
        <v>95</v>
      </c>
      <c r="B52" s="226"/>
      <c r="C52" s="226"/>
      <c r="D52" s="226"/>
    </row>
    <row r="53" spans="1:6" ht="37.15" customHeight="1" x14ac:dyDescent="0.25">
      <c r="A53" s="226" t="s">
        <v>96</v>
      </c>
      <c r="B53" s="226"/>
      <c r="C53" s="226"/>
      <c r="D53" s="226"/>
    </row>
    <row r="54" spans="1:6" ht="37.15" customHeight="1" x14ac:dyDescent="0.25">
      <c r="A54" s="226" t="s">
        <v>97</v>
      </c>
      <c r="B54" s="226"/>
      <c r="C54" s="226"/>
      <c r="D54" s="226"/>
    </row>
    <row r="55" spans="1:6" ht="6" customHeight="1" x14ac:dyDescent="0.25"/>
    <row r="56" spans="1:6" x14ac:dyDescent="0.25">
      <c r="A56" s="228" t="s">
        <v>43</v>
      </c>
      <c r="B56" s="228"/>
      <c r="C56" s="228"/>
      <c r="D56" s="228"/>
    </row>
    <row r="57" spans="1:6" ht="16.5" thickBot="1" x14ac:dyDescent="0.3"/>
    <row r="58" spans="1:6" ht="16.5" thickBot="1" x14ac:dyDescent="0.3">
      <c r="A58" s="35" t="s">
        <v>44</v>
      </c>
      <c r="B58" s="35" t="s">
        <v>45</v>
      </c>
      <c r="C58" s="34"/>
      <c r="D58" s="35" t="s">
        <v>13</v>
      </c>
    </row>
    <row r="59" spans="1:6" x14ac:dyDescent="0.25">
      <c r="A59" s="26" t="s">
        <v>14</v>
      </c>
      <c r="B59" s="27" t="s">
        <v>287</v>
      </c>
      <c r="C59" s="18"/>
      <c r="D59" s="22">
        <v>0</v>
      </c>
      <c r="F59" s="54"/>
    </row>
    <row r="60" spans="1:6" x14ac:dyDescent="0.25">
      <c r="A60" s="26" t="s">
        <v>16</v>
      </c>
      <c r="B60" s="27" t="s">
        <v>288</v>
      </c>
      <c r="C60" s="18"/>
      <c r="D60" s="22">
        <f>26.7*22-(0.1*26.7*22)</f>
        <v>528.66</v>
      </c>
    </row>
    <row r="61" spans="1:6" x14ac:dyDescent="0.25">
      <c r="A61" s="26" t="s">
        <v>18</v>
      </c>
      <c r="B61" s="27" t="s">
        <v>88</v>
      </c>
      <c r="C61" s="18"/>
      <c r="D61" s="22">
        <v>6</v>
      </c>
    </row>
    <row r="62" spans="1:6" x14ac:dyDescent="0.25">
      <c r="A62" s="26" t="s">
        <v>20</v>
      </c>
      <c r="B62" s="27" t="s">
        <v>158</v>
      </c>
      <c r="C62" s="18"/>
      <c r="D62" s="22">
        <v>19.899999999999999</v>
      </c>
    </row>
    <row r="63" spans="1:6" x14ac:dyDescent="0.25">
      <c r="A63" s="219" t="s">
        <v>1</v>
      </c>
      <c r="B63" s="219"/>
      <c r="C63" s="18"/>
      <c r="D63" s="22">
        <f>SUM(D59:D62)</f>
        <v>554.55999999999995</v>
      </c>
    </row>
    <row r="66" spans="1:4" x14ac:dyDescent="0.25">
      <c r="A66" s="228" t="s">
        <v>46</v>
      </c>
      <c r="B66" s="228"/>
      <c r="C66" s="228"/>
      <c r="D66" s="228"/>
    </row>
    <row r="67" spans="1:4" ht="16.5" thickBot="1" x14ac:dyDescent="0.3"/>
    <row r="68" spans="1:4" ht="31.15" customHeight="1" thickBot="1" x14ac:dyDescent="0.3">
      <c r="A68" s="35">
        <v>2</v>
      </c>
      <c r="B68" s="35" t="s">
        <v>47</v>
      </c>
      <c r="C68" s="34" t="s">
        <v>35</v>
      </c>
      <c r="D68" s="35" t="s">
        <v>13</v>
      </c>
    </row>
    <row r="69" spans="1:4" x14ac:dyDescent="0.25">
      <c r="A69" s="26" t="s">
        <v>28</v>
      </c>
      <c r="B69" s="27" t="s">
        <v>29</v>
      </c>
      <c r="C69" s="18"/>
      <c r="D69" s="22">
        <f>D34</f>
        <v>996.2036388888888</v>
      </c>
    </row>
    <row r="70" spans="1:4" x14ac:dyDescent="0.25">
      <c r="A70" s="26" t="s">
        <v>33</v>
      </c>
      <c r="B70" s="27" t="s">
        <v>34</v>
      </c>
      <c r="C70" s="18"/>
      <c r="D70" s="22">
        <f>D50</f>
        <v>2251.989483111111</v>
      </c>
    </row>
    <row r="71" spans="1:4" x14ac:dyDescent="0.25">
      <c r="A71" s="26" t="s">
        <v>44</v>
      </c>
      <c r="B71" s="27" t="s">
        <v>45</v>
      </c>
      <c r="C71" s="18"/>
      <c r="D71" s="22">
        <f>D63</f>
        <v>554.55999999999995</v>
      </c>
    </row>
    <row r="72" spans="1:4" x14ac:dyDescent="0.25">
      <c r="A72" s="219" t="s">
        <v>1</v>
      </c>
      <c r="B72" s="219"/>
      <c r="C72" s="18"/>
      <c r="D72" s="29">
        <f>SUM(D69:D71)</f>
        <v>3802.7531219999996</v>
      </c>
    </row>
    <row r="73" spans="1:4" x14ac:dyDescent="0.25">
      <c r="A73" s="1"/>
    </row>
    <row r="75" spans="1:4" x14ac:dyDescent="0.25">
      <c r="A75" s="229" t="s">
        <v>48</v>
      </c>
      <c r="B75" s="229"/>
      <c r="C75" s="229"/>
      <c r="D75" s="229"/>
    </row>
    <row r="76" spans="1:4" ht="16.5" thickBot="1" x14ac:dyDescent="0.3"/>
    <row r="77" spans="1:4" ht="34.9" customHeight="1" thickBot="1" x14ac:dyDescent="0.3">
      <c r="A77" s="35">
        <v>3</v>
      </c>
      <c r="B77" s="35" t="s">
        <v>49</v>
      </c>
      <c r="C77" s="34" t="s">
        <v>35</v>
      </c>
      <c r="D77" s="35" t="s">
        <v>13</v>
      </c>
    </row>
    <row r="78" spans="1:4" x14ac:dyDescent="0.25">
      <c r="A78" s="26" t="s">
        <v>14</v>
      </c>
      <c r="B78" s="28" t="s">
        <v>50</v>
      </c>
      <c r="C78" s="24">
        <f>'Media de custo com mão de obra'!T5</f>
        <v>4.1999999999999997E-3</v>
      </c>
      <c r="D78" s="22">
        <f>C78*$D$24</f>
        <v>21.517998599999999</v>
      </c>
    </row>
    <row r="79" spans="1:4" x14ac:dyDescent="0.25">
      <c r="A79" s="26" t="s">
        <v>16</v>
      </c>
      <c r="B79" s="28" t="s">
        <v>51</v>
      </c>
      <c r="C79" s="24">
        <f>C49*C78</f>
        <v>3.3599999999999998E-4</v>
      </c>
      <c r="D79" s="22">
        <f t="shared" ref="D79:D83" si="1">C79*$D$24</f>
        <v>1.7214398879999997</v>
      </c>
    </row>
    <row r="80" spans="1:4" x14ac:dyDescent="0.25">
      <c r="A80" s="26" t="s">
        <v>18</v>
      </c>
      <c r="B80" s="28" t="s">
        <v>52</v>
      </c>
      <c r="C80" s="24">
        <v>0.02</v>
      </c>
      <c r="D80" s="22">
        <f t="shared" si="1"/>
        <v>102.46665999999999</v>
      </c>
    </row>
    <row r="81" spans="1:4" x14ac:dyDescent="0.25">
      <c r="A81" s="26" t="s">
        <v>20</v>
      </c>
      <c r="B81" s="28" t="s">
        <v>53</v>
      </c>
      <c r="C81" s="24">
        <f>'Media de custo com mão de obra'!T6</f>
        <v>1.9400000000000001E-2</v>
      </c>
      <c r="D81" s="22">
        <f t="shared" si="1"/>
        <v>99.392660199999995</v>
      </c>
    </row>
    <row r="82" spans="1:4" x14ac:dyDescent="0.25">
      <c r="A82" s="26" t="s">
        <v>21</v>
      </c>
      <c r="B82" s="28" t="s">
        <v>54</v>
      </c>
      <c r="C82" s="24">
        <f>C81*C50</f>
        <v>7.1392000000000009E-3</v>
      </c>
      <c r="D82" s="22">
        <f t="shared" si="1"/>
        <v>36.576498953600002</v>
      </c>
    </row>
    <row r="83" spans="1:4" x14ac:dyDescent="0.25">
      <c r="A83" s="26" t="s">
        <v>23</v>
      </c>
      <c r="B83" s="28" t="s">
        <v>55</v>
      </c>
      <c r="C83" s="24">
        <v>0.02</v>
      </c>
      <c r="D83" s="22">
        <f t="shared" si="1"/>
        <v>102.46665999999999</v>
      </c>
    </row>
    <row r="84" spans="1:4" x14ac:dyDescent="0.25">
      <c r="A84" s="219" t="s">
        <v>1</v>
      </c>
      <c r="B84" s="219"/>
      <c r="C84" s="23">
        <f>SUM(C78:C83)</f>
        <v>7.1075200000000005E-2</v>
      </c>
      <c r="D84" s="53">
        <f>SUM(D78:D83)</f>
        <v>364.14191764159995</v>
      </c>
    </row>
    <row r="87" spans="1:4" x14ac:dyDescent="0.25">
      <c r="A87" s="229" t="s">
        <v>56</v>
      </c>
      <c r="B87" s="229"/>
      <c r="C87" s="229"/>
      <c r="D87" s="229"/>
    </row>
    <row r="90" spans="1:4" x14ac:dyDescent="0.25">
      <c r="A90" s="228" t="s">
        <v>57</v>
      </c>
      <c r="B90" s="228"/>
      <c r="C90" s="228"/>
      <c r="D90" s="228"/>
    </row>
    <row r="91" spans="1:4" ht="16.5" thickBot="1" x14ac:dyDescent="0.3">
      <c r="A91" s="2"/>
    </row>
    <row r="92" spans="1:4" ht="16.5" thickBot="1" x14ac:dyDescent="0.3">
      <c r="A92" s="35" t="s">
        <v>58</v>
      </c>
      <c r="B92" s="35" t="s">
        <v>59</v>
      </c>
      <c r="C92" s="34" t="s">
        <v>35</v>
      </c>
      <c r="D92" s="35" t="s">
        <v>13</v>
      </c>
    </row>
    <row r="93" spans="1:4" x14ac:dyDescent="0.25">
      <c r="A93" s="26" t="s">
        <v>14</v>
      </c>
      <c r="B93" s="27" t="s">
        <v>2</v>
      </c>
      <c r="C93" s="32">
        <f>D93/D24</f>
        <v>0.1430530720318893</v>
      </c>
      <c r="D93" s="22">
        <f>'Custo de Substitução nas Ferias'!E13</f>
        <v>732.90852469235551</v>
      </c>
    </row>
    <row r="94" spans="1:4" x14ac:dyDescent="0.25">
      <c r="A94" s="26" t="s">
        <v>16</v>
      </c>
      <c r="B94" s="27" t="s">
        <v>59</v>
      </c>
      <c r="C94" s="32">
        <f>'Media de custo com mão de obra'!T8</f>
        <v>6.0999999999999995E-3</v>
      </c>
      <c r="D94" s="22">
        <f>C94*$D$24</f>
        <v>31.252331299999994</v>
      </c>
    </row>
    <row r="95" spans="1:4" x14ac:dyDescent="0.25">
      <c r="A95" s="26" t="s">
        <v>18</v>
      </c>
      <c r="B95" s="27" t="s">
        <v>60</v>
      </c>
      <c r="C95" s="32">
        <f>'Media de custo com mão de obra'!T9</f>
        <v>2.5000000000000001E-4</v>
      </c>
      <c r="D95" s="22">
        <f t="shared" ref="D95:D98" si="2">C95*$D$24</f>
        <v>1.2808332499999999</v>
      </c>
    </row>
    <row r="96" spans="1:4" x14ac:dyDescent="0.25">
      <c r="A96" s="26" t="s">
        <v>20</v>
      </c>
      <c r="B96" s="27" t="s">
        <v>61</v>
      </c>
      <c r="C96" s="32">
        <f>'Media de custo com mão de obra'!T10</f>
        <v>2.0499999999999997E-3</v>
      </c>
      <c r="D96" s="22">
        <f t="shared" si="2"/>
        <v>10.502832649999998</v>
      </c>
    </row>
    <row r="97" spans="1:4" x14ac:dyDescent="0.25">
      <c r="A97" s="26" t="s">
        <v>21</v>
      </c>
      <c r="B97" s="27" t="s">
        <v>62</v>
      </c>
      <c r="C97" s="32">
        <f>'Media de custo com mão de obra'!T11</f>
        <v>5.9999999999999995E-4</v>
      </c>
      <c r="D97" s="22">
        <f t="shared" si="2"/>
        <v>3.0739997999999997</v>
      </c>
    </row>
    <row r="98" spans="1:4" x14ac:dyDescent="0.25">
      <c r="A98" s="26" t="s">
        <v>23</v>
      </c>
      <c r="B98" s="27" t="s">
        <v>25</v>
      </c>
      <c r="C98" s="32">
        <f>'Media de custo com mão de obra'!T12</f>
        <v>0</v>
      </c>
      <c r="D98" s="22">
        <f t="shared" si="2"/>
        <v>0</v>
      </c>
    </row>
    <row r="99" spans="1:4" x14ac:dyDescent="0.25">
      <c r="A99" s="219" t="s">
        <v>42</v>
      </c>
      <c r="B99" s="219"/>
      <c r="C99" s="33">
        <f>SUM(C93:C98)</f>
        <v>0.15205307203188928</v>
      </c>
      <c r="D99" s="29">
        <f>SUM(D93:D98)</f>
        <v>779.01852169235553</v>
      </c>
    </row>
    <row r="102" spans="1:4" x14ac:dyDescent="0.25">
      <c r="A102" s="228" t="s">
        <v>63</v>
      </c>
      <c r="B102" s="228"/>
      <c r="C102" s="228"/>
      <c r="D102" s="228"/>
    </row>
    <row r="103" spans="1:4" x14ac:dyDescent="0.25">
      <c r="A103" s="2"/>
    </row>
    <row r="104" spans="1:4" x14ac:dyDescent="0.25">
      <c r="A104" s="35" t="s">
        <v>64</v>
      </c>
      <c r="B104" s="35" t="s">
        <v>65</v>
      </c>
      <c r="C104" s="18"/>
      <c r="D104" s="35" t="s">
        <v>13</v>
      </c>
    </row>
    <row r="105" spans="1:4" x14ac:dyDescent="0.25">
      <c r="A105" s="26" t="s">
        <v>14</v>
      </c>
      <c r="B105" s="27" t="s">
        <v>82</v>
      </c>
      <c r="C105" s="18"/>
      <c r="D105" s="22">
        <v>0</v>
      </c>
    </row>
    <row r="106" spans="1:4" x14ac:dyDescent="0.25">
      <c r="A106" s="219" t="s">
        <v>1</v>
      </c>
      <c r="B106" s="219"/>
      <c r="C106" s="18"/>
      <c r="D106" s="22">
        <f>D105</f>
        <v>0</v>
      </c>
    </row>
    <row r="109" spans="1:4" x14ac:dyDescent="0.25">
      <c r="A109" s="228" t="s">
        <v>66</v>
      </c>
      <c r="B109" s="228"/>
      <c r="C109" s="228"/>
      <c r="D109" s="228"/>
    </row>
    <row r="110" spans="1:4" x14ac:dyDescent="0.25">
      <c r="A110" s="2"/>
    </row>
    <row r="111" spans="1:4" x14ac:dyDescent="0.25">
      <c r="A111" s="35">
        <v>4</v>
      </c>
      <c r="B111" s="35" t="s">
        <v>67</v>
      </c>
      <c r="C111" s="18"/>
      <c r="D111" s="35" t="s">
        <v>13</v>
      </c>
    </row>
    <row r="112" spans="1:4" x14ac:dyDescent="0.25">
      <c r="A112" s="26" t="s">
        <v>58</v>
      </c>
      <c r="B112" s="27" t="s">
        <v>59</v>
      </c>
      <c r="C112" s="18"/>
      <c r="D112" s="22">
        <f>D99</f>
        <v>779.01852169235553</v>
      </c>
    </row>
    <row r="113" spans="1:4" x14ac:dyDescent="0.25">
      <c r="A113" s="26" t="s">
        <v>64</v>
      </c>
      <c r="B113" s="27" t="s">
        <v>65</v>
      </c>
      <c r="C113" s="18"/>
      <c r="D113" s="22">
        <f>D106</f>
        <v>0</v>
      </c>
    </row>
    <row r="114" spans="1:4" x14ac:dyDescent="0.25">
      <c r="A114" s="219" t="s">
        <v>1</v>
      </c>
      <c r="B114" s="219"/>
      <c r="C114" s="18"/>
      <c r="D114" s="22">
        <f>SUM(D112:D113)</f>
        <v>779.01852169235553</v>
      </c>
    </row>
    <row r="117" spans="1:4" x14ac:dyDescent="0.25">
      <c r="A117" s="229" t="s">
        <v>68</v>
      </c>
      <c r="B117" s="229"/>
      <c r="C117" s="229"/>
      <c r="D117" s="229"/>
    </row>
    <row r="119" spans="1:4" x14ac:dyDescent="0.25">
      <c r="A119" s="35">
        <v>5</v>
      </c>
      <c r="B119" s="30" t="s">
        <v>6</v>
      </c>
      <c r="C119" s="18"/>
      <c r="D119" s="35" t="s">
        <v>13</v>
      </c>
    </row>
    <row r="120" spans="1:4" x14ac:dyDescent="0.25">
      <c r="A120" s="26" t="s">
        <v>14</v>
      </c>
      <c r="B120" s="27" t="s">
        <v>69</v>
      </c>
      <c r="C120" s="18"/>
      <c r="D120" s="120">
        <f>Uniformes!P24</f>
        <v>33.334256666666661</v>
      </c>
    </row>
    <row r="121" spans="1:4" x14ac:dyDescent="0.25">
      <c r="A121" s="26" t="s">
        <v>16</v>
      </c>
      <c r="B121" s="27" t="s">
        <v>70</v>
      </c>
      <c r="C121" s="18"/>
      <c r="D121" s="22">
        <v>0</v>
      </c>
    </row>
    <row r="122" spans="1:4" x14ac:dyDescent="0.25">
      <c r="A122" s="26" t="s">
        <v>18</v>
      </c>
      <c r="B122" s="27" t="s">
        <v>89</v>
      </c>
      <c r="C122" s="18"/>
      <c r="D122" s="48"/>
    </row>
    <row r="123" spans="1:4" ht="31.5" x14ac:dyDescent="0.25">
      <c r="A123" s="26" t="s">
        <v>20</v>
      </c>
      <c r="B123" s="27" t="s">
        <v>338</v>
      </c>
      <c r="C123" s="18"/>
      <c r="D123" s="22">
        <f>155/103</f>
        <v>1.5048543689320388</v>
      </c>
    </row>
    <row r="124" spans="1:4" x14ac:dyDescent="0.25">
      <c r="A124" s="219" t="s">
        <v>42</v>
      </c>
      <c r="B124" s="219"/>
      <c r="C124" s="18"/>
      <c r="D124" s="22">
        <f>SUM(D120:D123)</f>
        <v>34.839111035598698</v>
      </c>
    </row>
    <row r="127" spans="1:4" x14ac:dyDescent="0.25">
      <c r="A127" s="229" t="s">
        <v>71</v>
      </c>
      <c r="B127" s="229"/>
      <c r="C127" s="229"/>
      <c r="D127" s="229"/>
    </row>
    <row r="128" spans="1:4" ht="16.5" thickBot="1" x14ac:dyDescent="0.3"/>
    <row r="129" spans="1:6" s="52" customFormat="1" ht="34.15" customHeight="1" thickBot="1" x14ac:dyDescent="0.3">
      <c r="A129" s="3">
        <v>6</v>
      </c>
      <c r="B129" s="50" t="s">
        <v>7</v>
      </c>
      <c r="C129" s="50" t="s">
        <v>35</v>
      </c>
      <c r="D129" s="50" t="s">
        <v>13</v>
      </c>
    </row>
    <row r="130" spans="1:6" ht="16.5" thickBot="1" x14ac:dyDescent="0.3">
      <c r="A130" s="4" t="s">
        <v>14</v>
      </c>
      <c r="B130" s="5" t="s">
        <v>8</v>
      </c>
      <c r="C130" s="14">
        <f>'Media de custo com mão de obra'!T14</f>
        <v>1.66E-2</v>
      </c>
      <c r="D130" s="11">
        <f>(D24+D72+D84+D114+D124)*C130</f>
        <v>167.72782216133461</v>
      </c>
    </row>
    <row r="131" spans="1:6" ht="16.5" thickBot="1" x14ac:dyDescent="0.3">
      <c r="A131" s="4" t="s">
        <v>131</v>
      </c>
      <c r="B131" s="5" t="s">
        <v>345</v>
      </c>
      <c r="C131" s="14"/>
      <c r="D131" s="11">
        <v>75</v>
      </c>
    </row>
    <row r="132" spans="1:6" ht="16.5" thickBot="1" x14ac:dyDescent="0.3">
      <c r="A132" s="4" t="s">
        <v>16</v>
      </c>
      <c r="B132" s="5" t="s">
        <v>10</v>
      </c>
      <c r="C132" s="14">
        <f>'Media de custo com mão de obra'!T15</f>
        <v>2.4500000000000001E-2</v>
      </c>
      <c r="D132" s="11">
        <f>(D24+D72+D84+D114+D124+D130+D131)*C132</f>
        <v>253.49693061600678</v>
      </c>
    </row>
    <row r="133" spans="1:6" ht="16.5" thickBot="1" x14ac:dyDescent="0.3">
      <c r="A133" s="4" t="s">
        <v>18</v>
      </c>
      <c r="B133" s="5" t="s">
        <v>9</v>
      </c>
      <c r="C133" s="14">
        <f>SUM(C134,C136)</f>
        <v>0.14250000000000002</v>
      </c>
      <c r="D133" s="11">
        <f>((D24+D72+D84+D114+D124+D130+D131+D132)/(1-(C133)))*C133</f>
        <v>1761.5676216716417</v>
      </c>
    </row>
    <row r="134" spans="1:6" ht="16.5" thickBot="1" x14ac:dyDescent="0.3">
      <c r="A134" s="4"/>
      <c r="B134" s="5" t="s">
        <v>90</v>
      </c>
      <c r="C134" s="14">
        <f>1.65%+7.6%</f>
        <v>9.2499999999999999E-2</v>
      </c>
      <c r="D134" s="11">
        <f>((D24+D72+D84+D114+D124+D130+D131+D132)/(1-(C133)))*C134</f>
        <v>1143.4737193307146</v>
      </c>
      <c r="F134" s="188">
        <f>C134+C136</f>
        <v>0.14250000000000002</v>
      </c>
    </row>
    <row r="135" spans="1:6" ht="16.5" thickBot="1" x14ac:dyDescent="0.3">
      <c r="A135" s="4"/>
      <c r="B135" s="5" t="s">
        <v>72</v>
      </c>
      <c r="C135" s="14">
        <v>0</v>
      </c>
      <c r="D135" s="11"/>
    </row>
    <row r="136" spans="1:6" ht="16.5" thickBot="1" x14ac:dyDescent="0.3">
      <c r="A136" s="4"/>
      <c r="B136" s="5" t="s">
        <v>73</v>
      </c>
      <c r="C136" s="14">
        <v>0.05</v>
      </c>
      <c r="D136" s="11">
        <f>((D24+D72+D84+D114+D124+D130+D131+D132)/(1-(C133)))*C136</f>
        <v>618.09390234092689</v>
      </c>
    </row>
    <row r="137" spans="1:6" ht="16.5" thickBot="1" x14ac:dyDescent="0.3">
      <c r="A137" s="220" t="s">
        <v>42</v>
      </c>
      <c r="B137" s="221"/>
      <c r="C137" s="56">
        <f>SUM(C130:C133)</f>
        <v>0.18360000000000001</v>
      </c>
      <c r="D137" s="57">
        <f>SUM(D130:D133)</f>
        <v>2257.7923744489831</v>
      </c>
      <c r="F137" s="54">
        <f>D134+D136</f>
        <v>1761.5676216716415</v>
      </c>
    </row>
    <row r="140" spans="1:6" x14ac:dyDescent="0.25">
      <c r="A140" s="229" t="s">
        <v>74</v>
      </c>
      <c r="B140" s="229"/>
      <c r="C140" s="229"/>
      <c r="D140" s="229"/>
    </row>
    <row r="141" spans="1:6" ht="16.5" thickBot="1" x14ac:dyDescent="0.3"/>
    <row r="142" spans="1:6" ht="16.5" thickBot="1" x14ac:dyDescent="0.3">
      <c r="A142" s="3"/>
      <c r="B142" s="34" t="s">
        <v>75</v>
      </c>
      <c r="C142" s="34"/>
      <c r="D142" s="34" t="s">
        <v>13</v>
      </c>
    </row>
    <row r="143" spans="1:6" ht="16.5" thickBot="1" x14ac:dyDescent="0.3">
      <c r="A143" s="9" t="s">
        <v>14</v>
      </c>
      <c r="B143" s="5" t="s">
        <v>11</v>
      </c>
      <c r="C143" s="14"/>
      <c r="D143" s="12">
        <f>D24</f>
        <v>5123.3329999999996</v>
      </c>
    </row>
    <row r="144" spans="1:6" ht="16.5" thickBot="1" x14ac:dyDescent="0.3">
      <c r="A144" s="9" t="s">
        <v>16</v>
      </c>
      <c r="B144" s="5" t="s">
        <v>26</v>
      </c>
      <c r="C144" s="14"/>
      <c r="D144" s="12">
        <f>D72</f>
        <v>3802.7531219999996</v>
      </c>
    </row>
    <row r="145" spans="1:7" ht="16.5" thickBot="1" x14ac:dyDescent="0.3">
      <c r="A145" s="9" t="s">
        <v>18</v>
      </c>
      <c r="B145" s="5" t="s">
        <v>48</v>
      </c>
      <c r="C145" s="14"/>
      <c r="D145" s="12">
        <f>D84</f>
        <v>364.14191764159995</v>
      </c>
    </row>
    <row r="146" spans="1:7" ht="16.5" thickBot="1" x14ac:dyDescent="0.3">
      <c r="A146" s="9" t="s">
        <v>20</v>
      </c>
      <c r="B146" s="5" t="s">
        <v>56</v>
      </c>
      <c r="C146" s="14"/>
      <c r="D146" s="12">
        <f>D114</f>
        <v>779.01852169235553</v>
      </c>
    </row>
    <row r="147" spans="1:7" ht="16.5" thickBot="1" x14ac:dyDescent="0.3">
      <c r="A147" s="9" t="s">
        <v>21</v>
      </c>
      <c r="B147" s="5" t="s">
        <v>68</v>
      </c>
      <c r="C147" s="14"/>
      <c r="D147" s="12">
        <f>D124</f>
        <v>34.839111035598698</v>
      </c>
    </row>
    <row r="148" spans="1:7" ht="16.5" thickBot="1" x14ac:dyDescent="0.3">
      <c r="A148" s="220" t="s">
        <v>76</v>
      </c>
      <c r="B148" s="221"/>
      <c r="C148" s="14"/>
      <c r="D148" s="12">
        <f>SUM(D143:D147)</f>
        <v>10104.085672369554</v>
      </c>
    </row>
    <row r="149" spans="1:7" ht="16.5" thickBot="1" x14ac:dyDescent="0.3">
      <c r="A149" s="9" t="s">
        <v>23</v>
      </c>
      <c r="B149" s="5" t="s">
        <v>77</v>
      </c>
      <c r="C149" s="196"/>
      <c r="D149" s="197">
        <f>D137</f>
        <v>2257.7923744489831</v>
      </c>
    </row>
    <row r="150" spans="1:7" ht="16.5" thickBot="1" x14ac:dyDescent="0.3">
      <c r="A150" s="220" t="s">
        <v>78</v>
      </c>
      <c r="B150" s="227"/>
      <c r="C150" s="55"/>
      <c r="D150" s="200">
        <f>SUM(D148:D149)</f>
        <v>12361.878046818538</v>
      </c>
      <c r="E150" s="8" t="s">
        <v>289</v>
      </c>
    </row>
    <row r="152" spans="1:7" x14ac:dyDescent="0.25">
      <c r="D152" s="54"/>
    </row>
    <row r="153" spans="1:7" x14ac:dyDescent="0.25">
      <c r="F153" s="195">
        <v>12272.27</v>
      </c>
      <c r="G153" s="54">
        <f>D150-F153</f>
        <v>89.608046818537332</v>
      </c>
    </row>
  </sheetData>
  <mergeCells count="43">
    <mergeCell ref="A1:D1"/>
    <mergeCell ref="A2:D2"/>
    <mergeCell ref="A3:D3"/>
    <mergeCell ref="A14:D14"/>
    <mergeCell ref="A24:B24"/>
    <mergeCell ref="A5:D5"/>
    <mergeCell ref="C6:D6"/>
    <mergeCell ref="A90:D90"/>
    <mergeCell ref="A66:D66"/>
    <mergeCell ref="A72:B72"/>
    <mergeCell ref="A75:D75"/>
    <mergeCell ref="C10:D10"/>
    <mergeCell ref="C11:D11"/>
    <mergeCell ref="A52:D52"/>
    <mergeCell ref="A53:D53"/>
    <mergeCell ref="A54:D54"/>
    <mergeCell ref="A56:D56"/>
    <mergeCell ref="A87:D87"/>
    <mergeCell ref="A40:D40"/>
    <mergeCell ref="A27:D27"/>
    <mergeCell ref="A29:D29"/>
    <mergeCell ref="A34:B34"/>
    <mergeCell ref="A36:D36"/>
    <mergeCell ref="A150:B150"/>
    <mergeCell ref="A99:B99"/>
    <mergeCell ref="A102:D102"/>
    <mergeCell ref="A106:B106"/>
    <mergeCell ref="A109:D109"/>
    <mergeCell ref="A114:B114"/>
    <mergeCell ref="A117:D117"/>
    <mergeCell ref="A124:B124"/>
    <mergeCell ref="A127:D127"/>
    <mergeCell ref="A137:B137"/>
    <mergeCell ref="A140:D140"/>
    <mergeCell ref="A148:B148"/>
    <mergeCell ref="A84:B84"/>
    <mergeCell ref="A50:B50"/>
    <mergeCell ref="C8:D8"/>
    <mergeCell ref="C9:D9"/>
    <mergeCell ref="C7:D7"/>
    <mergeCell ref="A37:D37"/>
    <mergeCell ref="A38:D38"/>
    <mergeCell ref="A63:B63"/>
  </mergeCells>
  <pageMargins left="0.511811024" right="0.511811024" top="0.78740157499999996" bottom="0.78740157499999996" header="0.31496062000000002" footer="0.31496062000000002"/>
  <pageSetup paperSize="9" scale="56" fitToHeight="0" orientation="portrait" r:id="rId1"/>
  <rowBreaks count="2" manualBreakCount="2">
    <brk id="55" max="3" man="1"/>
    <brk id="73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2946B7-EF63-40B0-9BE4-88C05F562958}">
  <dimension ref="A1:G152"/>
  <sheetViews>
    <sheetView showGridLines="0" view="pageBreakPreview" topLeftCell="A109" zoomScaleNormal="115" zoomScaleSheetLayoutView="100" workbookViewId="0">
      <selection activeCell="B158" sqref="B158"/>
    </sheetView>
  </sheetViews>
  <sheetFormatPr defaultColWidth="9.140625" defaultRowHeight="15.75" x14ac:dyDescent="0.25"/>
  <cols>
    <col min="1" max="1" width="9.140625" style="8"/>
    <col min="2" max="2" width="72.140625" style="8" customWidth="1"/>
    <col min="3" max="3" width="15.5703125" style="8" customWidth="1"/>
    <col min="4" max="4" width="26.85546875" style="8" customWidth="1"/>
    <col min="5" max="5" width="2" style="8" customWidth="1"/>
    <col min="6" max="6" width="38.42578125" style="8" customWidth="1"/>
    <col min="7" max="7" width="15.140625" style="8" customWidth="1"/>
    <col min="8" max="16384" width="9.140625" style="8"/>
  </cols>
  <sheetData>
    <row r="1" spans="1:4" ht="23.25" x14ac:dyDescent="0.35">
      <c r="A1" s="232" t="s">
        <v>79</v>
      </c>
      <c r="B1" s="232"/>
      <c r="C1" s="232"/>
      <c r="D1" s="232"/>
    </row>
    <row r="2" spans="1:4" ht="23.25" x14ac:dyDescent="0.35">
      <c r="A2" s="232" t="s">
        <v>80</v>
      </c>
      <c r="B2" s="232"/>
      <c r="C2" s="232"/>
      <c r="D2" s="232"/>
    </row>
    <row r="3" spans="1:4" x14ac:dyDescent="0.25">
      <c r="A3" s="233" t="s">
        <v>81</v>
      </c>
      <c r="B3" s="233"/>
      <c r="C3" s="233"/>
      <c r="D3" s="233"/>
    </row>
    <row r="4" spans="1:4" x14ac:dyDescent="0.25">
      <c r="A4" s="67"/>
      <c r="B4" s="67"/>
      <c r="C4" s="67"/>
      <c r="D4" s="67"/>
    </row>
    <row r="5" spans="1:4" x14ac:dyDescent="0.25">
      <c r="A5" s="235" t="s">
        <v>135</v>
      </c>
      <c r="B5" s="235"/>
      <c r="C5" s="235"/>
      <c r="D5" s="235"/>
    </row>
    <row r="6" spans="1:4" x14ac:dyDescent="0.25">
      <c r="A6" s="26" t="s">
        <v>14</v>
      </c>
      <c r="B6" s="62" t="s">
        <v>137</v>
      </c>
      <c r="C6" s="236" t="s">
        <v>159</v>
      </c>
      <c r="D6" s="225"/>
    </row>
    <row r="7" spans="1:4" x14ac:dyDescent="0.25">
      <c r="A7" s="26" t="s">
        <v>16</v>
      </c>
      <c r="B7" s="62" t="s">
        <v>141</v>
      </c>
      <c r="C7" s="224" t="s">
        <v>156</v>
      </c>
      <c r="D7" s="225"/>
    </row>
    <row r="8" spans="1:4" x14ac:dyDescent="0.25">
      <c r="A8" s="26" t="s">
        <v>18</v>
      </c>
      <c r="B8" s="62" t="s">
        <v>140</v>
      </c>
      <c r="C8" s="222">
        <v>3928.8240000000001</v>
      </c>
      <c r="D8" s="223"/>
    </row>
    <row r="9" spans="1:4" ht="15.75" customHeight="1" x14ac:dyDescent="0.25">
      <c r="A9" s="26" t="s">
        <v>20</v>
      </c>
      <c r="B9" s="62" t="s">
        <v>138</v>
      </c>
      <c r="C9" s="224" t="s">
        <v>340</v>
      </c>
      <c r="D9" s="225"/>
    </row>
    <row r="10" spans="1:4" x14ac:dyDescent="0.25">
      <c r="A10" s="26" t="s">
        <v>21</v>
      </c>
      <c r="B10" s="62" t="s">
        <v>139</v>
      </c>
      <c r="C10" s="230">
        <v>45658</v>
      </c>
      <c r="D10" s="225"/>
    </row>
    <row r="11" spans="1:4" x14ac:dyDescent="0.25">
      <c r="A11" s="26" t="s">
        <v>23</v>
      </c>
      <c r="B11" s="62" t="s">
        <v>136</v>
      </c>
      <c r="C11" s="224">
        <v>12</v>
      </c>
      <c r="D11" s="225"/>
    </row>
    <row r="12" spans="1:4" x14ac:dyDescent="0.25">
      <c r="A12" s="59"/>
      <c r="B12" s="60"/>
      <c r="C12" s="61"/>
      <c r="D12" s="61"/>
    </row>
    <row r="13" spans="1:4" ht="20.45" customHeight="1" x14ac:dyDescent="0.25"/>
    <row r="14" spans="1:4" x14ac:dyDescent="0.25">
      <c r="A14" s="234" t="s">
        <v>11</v>
      </c>
      <c r="B14" s="234"/>
      <c r="C14" s="234"/>
      <c r="D14" s="234"/>
    </row>
    <row r="16" spans="1:4" x14ac:dyDescent="0.25">
      <c r="A16" s="66">
        <v>1</v>
      </c>
      <c r="B16" s="66" t="s">
        <v>12</v>
      </c>
      <c r="C16" s="18"/>
      <c r="D16" s="66" t="s">
        <v>13</v>
      </c>
    </row>
    <row r="17" spans="1:4" ht="16.5" thickBot="1" x14ac:dyDescent="0.3">
      <c r="A17" s="26" t="s">
        <v>14</v>
      </c>
      <c r="B17" s="27" t="s">
        <v>15</v>
      </c>
      <c r="C17" s="18"/>
      <c r="D17" s="11">
        <f>C8</f>
        <v>3928.8240000000001</v>
      </c>
    </row>
    <row r="18" spans="1:4" x14ac:dyDescent="0.25">
      <c r="A18" s="26" t="s">
        <v>16</v>
      </c>
      <c r="B18" s="27" t="s">
        <v>17</v>
      </c>
      <c r="C18" s="18"/>
      <c r="D18" s="22"/>
    </row>
    <row r="19" spans="1:4" x14ac:dyDescent="0.25">
      <c r="A19" s="26" t="s">
        <v>18</v>
      </c>
      <c r="B19" s="27" t="s">
        <v>19</v>
      </c>
      <c r="C19" s="18"/>
      <c r="D19" s="22"/>
    </row>
    <row r="20" spans="1:4" x14ac:dyDescent="0.25">
      <c r="A20" s="26" t="s">
        <v>20</v>
      </c>
      <c r="B20" s="27" t="s">
        <v>0</v>
      </c>
      <c r="C20" s="18"/>
      <c r="D20" s="22"/>
    </row>
    <row r="21" spans="1:4" x14ac:dyDescent="0.25">
      <c r="A21" s="26" t="s">
        <v>21</v>
      </c>
      <c r="B21" s="27" t="s">
        <v>22</v>
      </c>
      <c r="C21" s="18"/>
      <c r="D21" s="22"/>
    </row>
    <row r="22" spans="1:4" x14ac:dyDescent="0.25">
      <c r="A22" s="26"/>
      <c r="B22" s="27"/>
      <c r="C22" s="18"/>
      <c r="D22" s="22"/>
    </row>
    <row r="23" spans="1:4" x14ac:dyDescent="0.25">
      <c r="A23" s="26" t="s">
        <v>24</v>
      </c>
      <c r="B23" s="27" t="s">
        <v>25</v>
      </c>
      <c r="C23" s="18"/>
      <c r="D23" s="22"/>
    </row>
    <row r="24" spans="1:4" x14ac:dyDescent="0.25">
      <c r="A24" s="219" t="s">
        <v>1</v>
      </c>
      <c r="B24" s="219"/>
      <c r="C24" s="55"/>
      <c r="D24" s="29">
        <f>SUM(D17:D23)</f>
        <v>3928.8240000000001</v>
      </c>
    </row>
    <row r="26" spans="1:4" ht="5.45" customHeight="1" x14ac:dyDescent="0.25"/>
    <row r="27" spans="1:4" x14ac:dyDescent="0.25">
      <c r="A27" s="229" t="s">
        <v>26</v>
      </c>
      <c r="B27" s="229"/>
      <c r="C27" s="229"/>
      <c r="D27" s="229"/>
    </row>
    <row r="28" spans="1:4" x14ac:dyDescent="0.25">
      <c r="A28" s="2"/>
    </row>
    <row r="29" spans="1:4" x14ac:dyDescent="0.25">
      <c r="A29" s="228" t="s">
        <v>27</v>
      </c>
      <c r="B29" s="228"/>
      <c r="C29" s="228"/>
      <c r="D29" s="228"/>
    </row>
    <row r="30" spans="1:4" ht="16.5" thickBot="1" x14ac:dyDescent="0.3"/>
    <row r="31" spans="1:4" ht="16.5" thickBot="1" x14ac:dyDescent="0.3">
      <c r="A31" s="3" t="s">
        <v>28</v>
      </c>
      <c r="B31" s="68" t="s">
        <v>29</v>
      </c>
      <c r="C31" s="20" t="s">
        <v>91</v>
      </c>
      <c r="D31" s="21" t="s">
        <v>13</v>
      </c>
    </row>
    <row r="32" spans="1:4" ht="16.5" thickBot="1" x14ac:dyDescent="0.3">
      <c r="A32" s="4" t="s">
        <v>14</v>
      </c>
      <c r="B32" s="19" t="s">
        <v>30</v>
      </c>
      <c r="C32" s="23">
        <f>1/12</f>
        <v>8.3333333333333329E-2</v>
      </c>
      <c r="D32" s="22">
        <f>C32*D24</f>
        <v>327.40199999999999</v>
      </c>
    </row>
    <row r="33" spans="1:4" ht="16.5" thickBot="1" x14ac:dyDescent="0.3">
      <c r="A33" s="4" t="s">
        <v>16</v>
      </c>
      <c r="B33" s="19" t="s">
        <v>31</v>
      </c>
      <c r="C33" s="24">
        <f>1/12+1/12*1/3</f>
        <v>0.1111111111111111</v>
      </c>
      <c r="D33" s="22">
        <f>D24*C33</f>
        <v>436.536</v>
      </c>
    </row>
    <row r="34" spans="1:4" ht="16.5" thickBot="1" x14ac:dyDescent="0.3">
      <c r="A34" s="220" t="s">
        <v>1</v>
      </c>
      <c r="B34" s="227"/>
      <c r="C34" s="23">
        <f>SUM(C32:C33)</f>
        <v>0.19444444444444442</v>
      </c>
      <c r="D34" s="22">
        <f>SUM(D32:D33)</f>
        <v>763.93799999999999</v>
      </c>
    </row>
    <row r="35" spans="1:4" ht="3" customHeight="1" x14ac:dyDescent="0.25"/>
    <row r="36" spans="1:4" ht="62.45" customHeight="1" x14ac:dyDescent="0.25">
      <c r="A36" s="226" t="s">
        <v>92</v>
      </c>
      <c r="B36" s="226"/>
      <c r="C36" s="226"/>
      <c r="D36" s="226"/>
    </row>
    <row r="37" spans="1:4" ht="56.45" customHeight="1" x14ac:dyDescent="0.25">
      <c r="A37" s="226" t="s">
        <v>93</v>
      </c>
      <c r="B37" s="226"/>
      <c r="C37" s="226"/>
      <c r="D37" s="226"/>
    </row>
    <row r="38" spans="1:4" ht="65.45" customHeight="1" x14ac:dyDescent="0.25">
      <c r="A38" s="226" t="s">
        <v>94</v>
      </c>
      <c r="B38" s="226"/>
      <c r="C38" s="226"/>
      <c r="D38" s="226"/>
    </row>
    <row r="39" spans="1:4" ht="3.6" customHeight="1" x14ac:dyDescent="0.25"/>
    <row r="40" spans="1:4" ht="32.25" customHeight="1" thickBot="1" x14ac:dyDescent="0.3">
      <c r="A40" s="231" t="s">
        <v>32</v>
      </c>
      <c r="B40" s="231"/>
      <c r="C40" s="231"/>
      <c r="D40" s="231"/>
    </row>
    <row r="41" spans="1:4" ht="33" customHeight="1" thickBot="1" x14ac:dyDescent="0.3">
      <c r="A41" s="3" t="s">
        <v>33</v>
      </c>
      <c r="B41" s="65" t="s">
        <v>34</v>
      </c>
      <c r="C41" s="65" t="s">
        <v>35</v>
      </c>
      <c r="D41" s="65" t="s">
        <v>13</v>
      </c>
    </row>
    <row r="42" spans="1:4" ht="16.5" thickBot="1" x14ac:dyDescent="0.3">
      <c r="A42" s="4" t="s">
        <v>14</v>
      </c>
      <c r="B42" s="5" t="s">
        <v>36</v>
      </c>
      <c r="C42" s="6">
        <v>0.2</v>
      </c>
      <c r="D42" s="11">
        <f t="shared" ref="D42:D49" si="0">($D$24+$D$34)*C42</f>
        <v>938.55240000000003</v>
      </c>
    </row>
    <row r="43" spans="1:4" ht="16.5" thickBot="1" x14ac:dyDescent="0.3">
      <c r="A43" s="4" t="s">
        <v>16</v>
      </c>
      <c r="B43" s="5" t="s">
        <v>37</v>
      </c>
      <c r="C43" s="6">
        <v>2.5000000000000001E-2</v>
      </c>
      <c r="D43" s="11">
        <f t="shared" si="0"/>
        <v>117.31905</v>
      </c>
    </row>
    <row r="44" spans="1:4" ht="16.5" thickBot="1" x14ac:dyDescent="0.3">
      <c r="A44" s="4" t="s">
        <v>18</v>
      </c>
      <c r="B44" s="5" t="s">
        <v>38</v>
      </c>
      <c r="C44" s="13">
        <v>0.03</v>
      </c>
      <c r="D44" s="11">
        <f t="shared" si="0"/>
        <v>140.78286</v>
      </c>
    </row>
    <row r="45" spans="1:4" ht="16.5" thickBot="1" x14ac:dyDescent="0.3">
      <c r="A45" s="4" t="s">
        <v>20</v>
      </c>
      <c r="B45" s="5" t="s">
        <v>39</v>
      </c>
      <c r="C45" s="6">
        <v>1.4999999999999999E-2</v>
      </c>
      <c r="D45" s="11">
        <f t="shared" si="0"/>
        <v>70.39143</v>
      </c>
    </row>
    <row r="46" spans="1:4" ht="16.5" thickBot="1" x14ac:dyDescent="0.3">
      <c r="A46" s="4" t="s">
        <v>21</v>
      </c>
      <c r="B46" s="5" t="s">
        <v>40</v>
      </c>
      <c r="C46" s="6">
        <v>0.01</v>
      </c>
      <c r="D46" s="11">
        <f t="shared" si="0"/>
        <v>46.927619999999997</v>
      </c>
    </row>
    <row r="47" spans="1:4" ht="16.5" thickBot="1" x14ac:dyDescent="0.3">
      <c r="A47" s="4" t="s">
        <v>23</v>
      </c>
      <c r="B47" s="5" t="s">
        <v>3</v>
      </c>
      <c r="C47" s="6">
        <v>6.0000000000000001E-3</v>
      </c>
      <c r="D47" s="11">
        <f t="shared" si="0"/>
        <v>28.156572000000001</v>
      </c>
    </row>
    <row r="48" spans="1:4" ht="16.5" thickBot="1" x14ac:dyDescent="0.3">
      <c r="A48" s="4" t="s">
        <v>24</v>
      </c>
      <c r="B48" s="5" t="s">
        <v>4</v>
      </c>
      <c r="C48" s="6">
        <v>2E-3</v>
      </c>
      <c r="D48" s="11">
        <f t="shared" si="0"/>
        <v>9.3855240000000002</v>
      </c>
    </row>
    <row r="49" spans="1:6" ht="16.5" thickBot="1" x14ac:dyDescent="0.3">
      <c r="A49" s="4" t="s">
        <v>41</v>
      </c>
      <c r="B49" s="5" t="s">
        <v>5</v>
      </c>
      <c r="C49" s="6">
        <v>0.08</v>
      </c>
      <c r="D49" s="11">
        <f t="shared" si="0"/>
        <v>375.42095999999998</v>
      </c>
    </row>
    <row r="50" spans="1:6" ht="16.5" thickBot="1" x14ac:dyDescent="0.3">
      <c r="A50" s="220" t="s">
        <v>42</v>
      </c>
      <c r="B50" s="221"/>
      <c r="C50" s="6">
        <f>SUM(C42:C49)</f>
        <v>0.36800000000000005</v>
      </c>
      <c r="D50" s="11">
        <f>SUM(D42:D49)</f>
        <v>1726.936416</v>
      </c>
    </row>
    <row r="51" spans="1:6" ht="7.9" customHeight="1" x14ac:dyDescent="0.25"/>
    <row r="52" spans="1:6" ht="30.6" customHeight="1" x14ac:dyDescent="0.25">
      <c r="A52" s="226" t="s">
        <v>95</v>
      </c>
      <c r="B52" s="226"/>
      <c r="C52" s="226"/>
      <c r="D52" s="226"/>
    </row>
    <row r="53" spans="1:6" ht="37.15" customHeight="1" x14ac:dyDescent="0.25">
      <c r="A53" s="226" t="s">
        <v>96</v>
      </c>
      <c r="B53" s="226"/>
      <c r="C53" s="226"/>
      <c r="D53" s="226"/>
    </row>
    <row r="54" spans="1:6" ht="37.15" customHeight="1" x14ac:dyDescent="0.25">
      <c r="A54" s="226" t="s">
        <v>97</v>
      </c>
      <c r="B54" s="226"/>
      <c r="C54" s="226"/>
      <c r="D54" s="226"/>
    </row>
    <row r="55" spans="1:6" ht="6" customHeight="1" x14ac:dyDescent="0.25"/>
    <row r="56" spans="1:6" x14ac:dyDescent="0.25">
      <c r="A56" s="228" t="s">
        <v>43</v>
      </c>
      <c r="B56" s="228"/>
      <c r="C56" s="228"/>
      <c r="D56" s="228"/>
    </row>
    <row r="57" spans="1:6" ht="16.5" thickBot="1" x14ac:dyDescent="0.3"/>
    <row r="58" spans="1:6" ht="16.5" thickBot="1" x14ac:dyDescent="0.3">
      <c r="A58" s="66" t="s">
        <v>44</v>
      </c>
      <c r="B58" s="66" t="s">
        <v>45</v>
      </c>
      <c r="C58" s="65"/>
      <c r="D58" s="66" t="s">
        <v>13</v>
      </c>
    </row>
    <row r="59" spans="1:6" x14ac:dyDescent="0.25">
      <c r="A59" s="26" t="s">
        <v>14</v>
      </c>
      <c r="B59" s="27" t="s">
        <v>287</v>
      </c>
      <c r="C59" s="18"/>
      <c r="D59" s="22">
        <v>0</v>
      </c>
      <c r="F59" s="54"/>
    </row>
    <row r="60" spans="1:6" x14ac:dyDescent="0.25">
      <c r="A60" s="26" t="s">
        <v>16</v>
      </c>
      <c r="B60" s="27" t="s">
        <v>288</v>
      </c>
      <c r="C60" s="18"/>
      <c r="D60" s="22">
        <f>26.7*22-(0.1*26.7*22)</f>
        <v>528.66</v>
      </c>
    </row>
    <row r="61" spans="1:6" x14ac:dyDescent="0.25">
      <c r="A61" s="26" t="s">
        <v>18</v>
      </c>
      <c r="B61" s="27" t="s">
        <v>88</v>
      </c>
      <c r="C61" s="18"/>
      <c r="D61" s="22">
        <v>6</v>
      </c>
    </row>
    <row r="62" spans="1:6" x14ac:dyDescent="0.25">
      <c r="A62" s="26" t="s">
        <v>20</v>
      </c>
      <c r="B62" s="27" t="s">
        <v>158</v>
      </c>
      <c r="C62" s="18"/>
      <c r="D62" s="22">
        <v>19.899999999999999</v>
      </c>
    </row>
    <row r="63" spans="1:6" x14ac:dyDescent="0.25">
      <c r="A63" s="219" t="s">
        <v>1</v>
      </c>
      <c r="B63" s="219"/>
      <c r="C63" s="18"/>
      <c r="D63" s="22">
        <f>SUM(D59:D62)</f>
        <v>554.55999999999995</v>
      </c>
    </row>
    <row r="66" spans="1:4" x14ac:dyDescent="0.25">
      <c r="A66" s="228" t="s">
        <v>46</v>
      </c>
      <c r="B66" s="228"/>
      <c r="C66" s="228"/>
      <c r="D66" s="228"/>
    </row>
    <row r="67" spans="1:4" ht="16.5" thickBot="1" x14ac:dyDescent="0.3"/>
    <row r="68" spans="1:4" ht="31.15" customHeight="1" thickBot="1" x14ac:dyDescent="0.3">
      <c r="A68" s="66">
        <v>2</v>
      </c>
      <c r="B68" s="66" t="s">
        <v>47</v>
      </c>
      <c r="C68" s="65" t="s">
        <v>35</v>
      </c>
      <c r="D68" s="66" t="s">
        <v>13</v>
      </c>
    </row>
    <row r="69" spans="1:4" x14ac:dyDescent="0.25">
      <c r="A69" s="26" t="s">
        <v>28</v>
      </c>
      <c r="B69" s="27" t="s">
        <v>29</v>
      </c>
      <c r="C69" s="18"/>
      <c r="D69" s="22">
        <f>D34</f>
        <v>763.93799999999999</v>
      </c>
    </row>
    <row r="70" spans="1:4" x14ac:dyDescent="0.25">
      <c r="A70" s="26" t="s">
        <v>33</v>
      </c>
      <c r="B70" s="27" t="s">
        <v>34</v>
      </c>
      <c r="C70" s="18"/>
      <c r="D70" s="22">
        <f>D50</f>
        <v>1726.936416</v>
      </c>
    </row>
    <row r="71" spans="1:4" x14ac:dyDescent="0.25">
      <c r="A71" s="26" t="s">
        <v>44</v>
      </c>
      <c r="B71" s="27" t="s">
        <v>45</v>
      </c>
      <c r="C71" s="18"/>
      <c r="D71" s="22">
        <f>D63</f>
        <v>554.55999999999995</v>
      </c>
    </row>
    <row r="72" spans="1:4" x14ac:dyDescent="0.25">
      <c r="A72" s="219" t="s">
        <v>1</v>
      </c>
      <c r="B72" s="219"/>
      <c r="C72" s="18"/>
      <c r="D72" s="29">
        <f>SUM(D69:D71)</f>
        <v>3045.4344160000001</v>
      </c>
    </row>
    <row r="73" spans="1:4" x14ac:dyDescent="0.25">
      <c r="A73" s="1"/>
    </row>
    <row r="75" spans="1:4" x14ac:dyDescent="0.25">
      <c r="A75" s="229" t="s">
        <v>48</v>
      </c>
      <c r="B75" s="229"/>
      <c r="C75" s="229"/>
      <c r="D75" s="229"/>
    </row>
    <row r="76" spans="1:4" ht="16.5" thickBot="1" x14ac:dyDescent="0.3"/>
    <row r="77" spans="1:4" ht="34.9" customHeight="1" thickBot="1" x14ac:dyDescent="0.3">
      <c r="A77" s="66">
        <v>3</v>
      </c>
      <c r="B77" s="66" t="s">
        <v>49</v>
      </c>
      <c r="C77" s="65" t="s">
        <v>35</v>
      </c>
      <c r="D77" s="66" t="s">
        <v>13</v>
      </c>
    </row>
    <row r="78" spans="1:4" x14ac:dyDescent="0.25">
      <c r="A78" s="26" t="s">
        <v>14</v>
      </c>
      <c r="B78" s="28" t="s">
        <v>50</v>
      </c>
      <c r="C78" s="24">
        <f>'Media de custo com mão de obra'!T5</f>
        <v>4.1999999999999997E-3</v>
      </c>
      <c r="D78" s="22">
        <f>C78*$D$24</f>
        <v>16.501060799999998</v>
      </c>
    </row>
    <row r="79" spans="1:4" x14ac:dyDescent="0.25">
      <c r="A79" s="26" t="s">
        <v>16</v>
      </c>
      <c r="B79" s="28" t="s">
        <v>51</v>
      </c>
      <c r="C79" s="24">
        <f>C49*C78</f>
        <v>3.3599999999999998E-4</v>
      </c>
      <c r="D79" s="22">
        <f t="shared" ref="D79:D83" si="1">C79*$D$24</f>
        <v>1.320084864</v>
      </c>
    </row>
    <row r="80" spans="1:4" x14ac:dyDescent="0.25">
      <c r="A80" s="26" t="s">
        <v>18</v>
      </c>
      <c r="B80" s="28" t="s">
        <v>52</v>
      </c>
      <c r="C80" s="24">
        <v>0.02</v>
      </c>
      <c r="D80" s="22">
        <f t="shared" si="1"/>
        <v>78.576480000000004</v>
      </c>
    </row>
    <row r="81" spans="1:4" x14ac:dyDescent="0.25">
      <c r="A81" s="26" t="s">
        <v>20</v>
      </c>
      <c r="B81" s="28" t="s">
        <v>53</v>
      </c>
      <c r="C81" s="24">
        <f>'Media de custo com mão de obra'!T6</f>
        <v>1.9400000000000001E-2</v>
      </c>
      <c r="D81" s="22">
        <f t="shared" si="1"/>
        <v>76.219185600000003</v>
      </c>
    </row>
    <row r="82" spans="1:4" x14ac:dyDescent="0.25">
      <c r="A82" s="26" t="s">
        <v>21</v>
      </c>
      <c r="B82" s="28" t="s">
        <v>54</v>
      </c>
      <c r="C82" s="24">
        <f>C81*C50</f>
        <v>7.1392000000000009E-3</v>
      </c>
      <c r="D82" s="22">
        <f t="shared" si="1"/>
        <v>28.048660300800005</v>
      </c>
    </row>
    <row r="83" spans="1:4" x14ac:dyDescent="0.25">
      <c r="A83" s="26" t="s">
        <v>23</v>
      </c>
      <c r="B83" s="28" t="s">
        <v>55</v>
      </c>
      <c r="C83" s="24">
        <v>0.02</v>
      </c>
      <c r="D83" s="22">
        <f t="shared" si="1"/>
        <v>78.576480000000004</v>
      </c>
    </row>
    <row r="84" spans="1:4" x14ac:dyDescent="0.25">
      <c r="A84" s="219" t="s">
        <v>1</v>
      </c>
      <c r="B84" s="219"/>
      <c r="C84" s="23">
        <f>SUM(C78:C83)</f>
        <v>7.1075200000000005E-2</v>
      </c>
      <c r="D84" s="53">
        <f>SUM(D78:D83)</f>
        <v>279.24195156480005</v>
      </c>
    </row>
    <row r="87" spans="1:4" x14ac:dyDescent="0.25">
      <c r="A87" s="229" t="s">
        <v>56</v>
      </c>
      <c r="B87" s="229"/>
      <c r="C87" s="229"/>
      <c r="D87" s="229"/>
    </row>
    <row r="90" spans="1:4" x14ac:dyDescent="0.25">
      <c r="A90" s="228" t="s">
        <v>57</v>
      </c>
      <c r="B90" s="228"/>
      <c r="C90" s="228"/>
      <c r="D90" s="228"/>
    </row>
    <row r="91" spans="1:4" ht="16.5" thickBot="1" x14ac:dyDescent="0.3">
      <c r="A91" s="2"/>
    </row>
    <row r="92" spans="1:4" ht="16.5" thickBot="1" x14ac:dyDescent="0.3">
      <c r="A92" s="66" t="s">
        <v>58</v>
      </c>
      <c r="B92" s="66" t="s">
        <v>59</v>
      </c>
      <c r="C92" s="65" t="s">
        <v>35</v>
      </c>
      <c r="D92" s="66" t="s">
        <v>13</v>
      </c>
    </row>
    <row r="93" spans="1:4" x14ac:dyDescent="0.25">
      <c r="A93" s="26" t="s">
        <v>14</v>
      </c>
      <c r="B93" s="27" t="s">
        <v>2</v>
      </c>
      <c r="C93" s="32">
        <f>D93/D24</f>
        <v>0.1433460034570028</v>
      </c>
      <c r="D93" s="22">
        <f>'Custo de Substitução nas Ferias'!F13</f>
        <v>563.18121868595551</v>
      </c>
    </row>
    <row r="94" spans="1:4" x14ac:dyDescent="0.25">
      <c r="A94" s="26" t="s">
        <v>16</v>
      </c>
      <c r="B94" s="27" t="s">
        <v>59</v>
      </c>
      <c r="C94" s="32">
        <f>'Media de custo com mão de obra'!T8</f>
        <v>6.0999999999999995E-3</v>
      </c>
      <c r="D94" s="22">
        <f>C94*$D$24</f>
        <v>23.965826399999997</v>
      </c>
    </row>
    <row r="95" spans="1:4" x14ac:dyDescent="0.25">
      <c r="A95" s="26" t="s">
        <v>18</v>
      </c>
      <c r="B95" s="27" t="s">
        <v>60</v>
      </c>
      <c r="C95" s="32">
        <f>'Media de custo com mão de obra'!T9</f>
        <v>2.5000000000000001E-4</v>
      </c>
      <c r="D95" s="22">
        <f t="shared" ref="D95:D98" si="2">C95*$D$24</f>
        <v>0.98220600000000002</v>
      </c>
    </row>
    <row r="96" spans="1:4" x14ac:dyDescent="0.25">
      <c r="A96" s="26" t="s">
        <v>20</v>
      </c>
      <c r="B96" s="27" t="s">
        <v>61</v>
      </c>
      <c r="C96" s="32">
        <f>'Media de custo com mão de obra'!T10</f>
        <v>2.0499999999999997E-3</v>
      </c>
      <c r="D96" s="22">
        <f t="shared" si="2"/>
        <v>8.0540891999999999</v>
      </c>
    </row>
    <row r="97" spans="1:4" x14ac:dyDescent="0.25">
      <c r="A97" s="26" t="s">
        <v>21</v>
      </c>
      <c r="B97" s="27" t="s">
        <v>62</v>
      </c>
      <c r="C97" s="32">
        <f>'Media de custo com mão de obra'!T11</f>
        <v>5.9999999999999995E-4</v>
      </c>
      <c r="D97" s="22">
        <f t="shared" si="2"/>
        <v>2.3572943999999998</v>
      </c>
    </row>
    <row r="98" spans="1:4" x14ac:dyDescent="0.25">
      <c r="A98" s="26" t="s">
        <v>23</v>
      </c>
      <c r="B98" s="27" t="s">
        <v>25</v>
      </c>
      <c r="C98" s="32">
        <f>'Media de custo com mão de obra'!T12</f>
        <v>0</v>
      </c>
      <c r="D98" s="22">
        <f t="shared" si="2"/>
        <v>0</v>
      </c>
    </row>
    <row r="99" spans="1:4" x14ac:dyDescent="0.25">
      <c r="A99" s="219" t="s">
        <v>42</v>
      </c>
      <c r="B99" s="219"/>
      <c r="C99" s="33">
        <f>SUM(C93:C98)</f>
        <v>0.15234600345700278</v>
      </c>
      <c r="D99" s="29">
        <f>SUM(D93:D98)</f>
        <v>598.54063468595552</v>
      </c>
    </row>
    <row r="102" spans="1:4" x14ac:dyDescent="0.25">
      <c r="A102" s="228" t="s">
        <v>63</v>
      </c>
      <c r="B102" s="228"/>
      <c r="C102" s="228"/>
      <c r="D102" s="228"/>
    </row>
    <row r="103" spans="1:4" x14ac:dyDescent="0.25">
      <c r="A103" s="2"/>
    </row>
    <row r="104" spans="1:4" x14ac:dyDescent="0.25">
      <c r="A104" s="66" t="s">
        <v>64</v>
      </c>
      <c r="B104" s="66" t="s">
        <v>65</v>
      </c>
      <c r="C104" s="18"/>
      <c r="D104" s="66" t="s">
        <v>13</v>
      </c>
    </row>
    <row r="105" spans="1:4" x14ac:dyDescent="0.25">
      <c r="A105" s="26" t="s">
        <v>14</v>
      </c>
      <c r="B105" s="27" t="s">
        <v>82</v>
      </c>
      <c r="C105" s="18"/>
      <c r="D105" s="22">
        <v>0</v>
      </c>
    </row>
    <row r="106" spans="1:4" x14ac:dyDescent="0.25">
      <c r="A106" s="219" t="s">
        <v>1</v>
      </c>
      <c r="B106" s="219"/>
      <c r="C106" s="18"/>
      <c r="D106" s="22">
        <f>D105</f>
        <v>0</v>
      </c>
    </row>
    <row r="109" spans="1:4" x14ac:dyDescent="0.25">
      <c r="A109" s="228" t="s">
        <v>66</v>
      </c>
      <c r="B109" s="228"/>
      <c r="C109" s="228"/>
      <c r="D109" s="228"/>
    </row>
    <row r="110" spans="1:4" x14ac:dyDescent="0.25">
      <c r="A110" s="2"/>
    </row>
    <row r="111" spans="1:4" x14ac:dyDescent="0.25">
      <c r="A111" s="66">
        <v>4</v>
      </c>
      <c r="B111" s="66" t="s">
        <v>67</v>
      </c>
      <c r="C111" s="18"/>
      <c r="D111" s="66" t="s">
        <v>13</v>
      </c>
    </row>
    <row r="112" spans="1:4" x14ac:dyDescent="0.25">
      <c r="A112" s="26" t="s">
        <v>58</v>
      </c>
      <c r="B112" s="27" t="s">
        <v>59</v>
      </c>
      <c r="C112" s="18"/>
      <c r="D112" s="22">
        <f>D99</f>
        <v>598.54063468595552</v>
      </c>
    </row>
    <row r="113" spans="1:4" x14ac:dyDescent="0.25">
      <c r="A113" s="26" t="s">
        <v>64</v>
      </c>
      <c r="B113" s="27" t="s">
        <v>65</v>
      </c>
      <c r="C113" s="18"/>
      <c r="D113" s="22">
        <f>D106</f>
        <v>0</v>
      </c>
    </row>
    <row r="114" spans="1:4" x14ac:dyDescent="0.25">
      <c r="A114" s="219" t="s">
        <v>1</v>
      </c>
      <c r="B114" s="219"/>
      <c r="C114" s="18"/>
      <c r="D114" s="22">
        <f>SUM(D112:D113)</f>
        <v>598.54063468595552</v>
      </c>
    </row>
    <row r="117" spans="1:4" x14ac:dyDescent="0.25">
      <c r="A117" s="229" t="s">
        <v>68</v>
      </c>
      <c r="B117" s="229"/>
      <c r="C117" s="229"/>
      <c r="D117" s="229"/>
    </row>
    <row r="119" spans="1:4" x14ac:dyDescent="0.25">
      <c r="A119" s="66">
        <v>5</v>
      </c>
      <c r="B119" s="30" t="s">
        <v>6</v>
      </c>
      <c r="C119" s="18"/>
      <c r="D119" s="66" t="s">
        <v>13</v>
      </c>
    </row>
    <row r="120" spans="1:4" x14ac:dyDescent="0.25">
      <c r="A120" s="26" t="s">
        <v>14</v>
      </c>
      <c r="B120" s="27" t="s">
        <v>69</v>
      </c>
      <c r="C120" s="18"/>
      <c r="D120" s="120">
        <f>Uniformes!P24</f>
        <v>33.334256666666661</v>
      </c>
    </row>
    <row r="121" spans="1:4" x14ac:dyDescent="0.25">
      <c r="A121" s="26" t="s">
        <v>16</v>
      </c>
      <c r="B121" s="27" t="s">
        <v>70</v>
      </c>
      <c r="C121" s="18"/>
      <c r="D121" s="22">
        <v>0</v>
      </c>
    </row>
    <row r="122" spans="1:4" x14ac:dyDescent="0.25">
      <c r="A122" s="26" t="s">
        <v>18</v>
      </c>
      <c r="B122" s="27" t="s">
        <v>89</v>
      </c>
      <c r="C122" s="18"/>
      <c r="D122" s="48"/>
    </row>
    <row r="123" spans="1:4" ht="31.5" x14ac:dyDescent="0.25">
      <c r="A123" s="26" t="s">
        <v>20</v>
      </c>
      <c r="B123" s="27" t="s">
        <v>338</v>
      </c>
      <c r="C123" s="18"/>
      <c r="D123" s="22">
        <f>155/103</f>
        <v>1.5048543689320388</v>
      </c>
    </row>
    <row r="124" spans="1:4" x14ac:dyDescent="0.25">
      <c r="A124" s="219" t="s">
        <v>42</v>
      </c>
      <c r="B124" s="219"/>
      <c r="C124" s="18"/>
      <c r="D124" s="22">
        <f>SUM(D120:D123)</f>
        <v>34.839111035598698</v>
      </c>
    </row>
    <row r="127" spans="1:4" x14ac:dyDescent="0.25">
      <c r="A127" s="229" t="s">
        <v>71</v>
      </c>
      <c r="B127" s="229"/>
      <c r="C127" s="229"/>
      <c r="D127" s="229"/>
    </row>
    <row r="128" spans="1:4" ht="16.5" thickBot="1" x14ac:dyDescent="0.3"/>
    <row r="129" spans="1:6" s="52" customFormat="1" ht="34.15" customHeight="1" thickBot="1" x14ac:dyDescent="0.3">
      <c r="A129" s="3">
        <v>6</v>
      </c>
      <c r="B129" s="65" t="s">
        <v>7</v>
      </c>
      <c r="C129" s="65" t="s">
        <v>35</v>
      </c>
      <c r="D129" s="65" t="s">
        <v>13</v>
      </c>
    </row>
    <row r="130" spans="1:6" ht="16.5" thickBot="1" x14ac:dyDescent="0.3">
      <c r="A130" s="4" t="s">
        <v>14</v>
      </c>
      <c r="B130" s="5" t="s">
        <v>8</v>
      </c>
      <c r="C130" s="14">
        <f>'Media de custo com mão de obra'!T14</f>
        <v>1.66E-2</v>
      </c>
      <c r="D130" s="11">
        <f>(D24+D72+D84+D114+D124)*C130</f>
        <v>130.92220988055348</v>
      </c>
    </row>
    <row r="131" spans="1:6" ht="16.5" thickBot="1" x14ac:dyDescent="0.3">
      <c r="A131" s="4" t="s">
        <v>131</v>
      </c>
      <c r="B131" s="5" t="s">
        <v>345</v>
      </c>
      <c r="C131" s="14"/>
      <c r="D131" s="11">
        <v>75</v>
      </c>
    </row>
    <row r="132" spans="1:6" ht="16.5" thickBot="1" x14ac:dyDescent="0.3">
      <c r="A132" s="4" t="s">
        <v>16</v>
      </c>
      <c r="B132" s="5" t="s">
        <v>10</v>
      </c>
      <c r="C132" s="14">
        <f>'Media de custo com mão de obra'!T15</f>
        <v>2.4500000000000001E-2</v>
      </c>
      <c r="D132" s="11">
        <f>(D24+D72+D84+D114+D124+D130+D131)*C132</f>
        <v>198.27365691758925</v>
      </c>
    </row>
    <row r="133" spans="1:6" ht="16.5" thickBot="1" x14ac:dyDescent="0.3">
      <c r="A133" s="4" t="s">
        <v>18</v>
      </c>
      <c r="B133" s="5" t="s">
        <v>9</v>
      </c>
      <c r="C133" s="14">
        <f>SUM(C134,C136)</f>
        <v>0.14250000000000002</v>
      </c>
      <c r="D133" s="11">
        <f>((D24+D72+D84+D114+D124+D130+D131+D132)/(1-(C133)))*C133</f>
        <v>1377.8172911510683</v>
      </c>
    </row>
    <row r="134" spans="1:6" ht="16.5" thickBot="1" x14ac:dyDescent="0.3">
      <c r="A134" s="4"/>
      <c r="B134" s="5" t="s">
        <v>90</v>
      </c>
      <c r="C134" s="14">
        <f>1.65%+7.6%</f>
        <v>9.2499999999999999E-2</v>
      </c>
      <c r="D134" s="11">
        <f>((D24+D72+D84+D114+D124+D130+D131+D132)/(1-(C133)))*C134</f>
        <v>894.37262758928978</v>
      </c>
    </row>
    <row r="135" spans="1:6" ht="16.5" thickBot="1" x14ac:dyDescent="0.3">
      <c r="A135" s="4"/>
      <c r="B135" s="5" t="s">
        <v>72</v>
      </c>
      <c r="C135" s="14">
        <v>0</v>
      </c>
      <c r="D135" s="11"/>
    </row>
    <row r="136" spans="1:6" ht="16.5" thickBot="1" x14ac:dyDescent="0.3">
      <c r="A136" s="4"/>
      <c r="B136" s="5" t="s">
        <v>73</v>
      </c>
      <c r="C136" s="14">
        <v>0.05</v>
      </c>
      <c r="D136" s="11">
        <f>((D24+D72+D84+D114+D124+D130+D131+D132)/(1-(C133)))*C136</f>
        <v>483.44466356177827</v>
      </c>
      <c r="F136" s="54">
        <f>D134+D136</f>
        <v>1377.817291151068</v>
      </c>
    </row>
    <row r="137" spans="1:6" ht="16.5" thickBot="1" x14ac:dyDescent="0.3">
      <c r="A137" s="220" t="s">
        <v>42</v>
      </c>
      <c r="B137" s="221"/>
      <c r="C137" s="56">
        <f>SUM(C130:C133)</f>
        <v>0.18360000000000001</v>
      </c>
      <c r="D137" s="57">
        <f>SUM(D130:D133)</f>
        <v>1782.0131579492111</v>
      </c>
    </row>
    <row r="140" spans="1:6" x14ac:dyDescent="0.25">
      <c r="A140" s="229" t="s">
        <v>74</v>
      </c>
      <c r="B140" s="229"/>
      <c r="C140" s="229"/>
      <c r="D140" s="229"/>
    </row>
    <row r="141" spans="1:6" ht="16.5" thickBot="1" x14ac:dyDescent="0.3"/>
    <row r="142" spans="1:6" ht="16.5" thickBot="1" x14ac:dyDescent="0.3">
      <c r="A142" s="3"/>
      <c r="B142" s="65" t="s">
        <v>75</v>
      </c>
      <c r="C142" s="65"/>
      <c r="D142" s="65" t="s">
        <v>13</v>
      </c>
    </row>
    <row r="143" spans="1:6" ht="16.5" thickBot="1" x14ac:dyDescent="0.3">
      <c r="A143" s="9" t="s">
        <v>14</v>
      </c>
      <c r="B143" s="5" t="s">
        <v>11</v>
      </c>
      <c r="C143" s="14"/>
      <c r="D143" s="12">
        <f>D24</f>
        <v>3928.8240000000001</v>
      </c>
    </row>
    <row r="144" spans="1:6" ht="16.5" thickBot="1" x14ac:dyDescent="0.3">
      <c r="A144" s="9" t="s">
        <v>16</v>
      </c>
      <c r="B144" s="5" t="s">
        <v>26</v>
      </c>
      <c r="C144" s="14"/>
      <c r="D144" s="12">
        <f>D72</f>
        <v>3045.4344160000001</v>
      </c>
    </row>
    <row r="145" spans="1:7" ht="16.5" thickBot="1" x14ac:dyDescent="0.3">
      <c r="A145" s="9" t="s">
        <v>18</v>
      </c>
      <c r="B145" s="5" t="s">
        <v>48</v>
      </c>
      <c r="C145" s="14"/>
      <c r="D145" s="12">
        <f>D84</f>
        <v>279.24195156480005</v>
      </c>
    </row>
    <row r="146" spans="1:7" ht="16.5" thickBot="1" x14ac:dyDescent="0.3">
      <c r="A146" s="9" t="s">
        <v>20</v>
      </c>
      <c r="B146" s="5" t="s">
        <v>56</v>
      </c>
      <c r="C146" s="14"/>
      <c r="D146" s="12">
        <f>D114</f>
        <v>598.54063468595552</v>
      </c>
    </row>
    <row r="147" spans="1:7" ht="16.5" thickBot="1" x14ac:dyDescent="0.3">
      <c r="A147" s="9" t="s">
        <v>21</v>
      </c>
      <c r="B147" s="5" t="s">
        <v>68</v>
      </c>
      <c r="C147" s="14"/>
      <c r="D147" s="12">
        <f>D124</f>
        <v>34.839111035598698</v>
      </c>
    </row>
    <row r="148" spans="1:7" x14ac:dyDescent="0.25">
      <c r="A148" s="237" t="s">
        <v>76</v>
      </c>
      <c r="B148" s="238"/>
      <c r="C148" s="196"/>
      <c r="D148" s="197">
        <f>SUM(D143:D147)</f>
        <v>7886.8801132863546</v>
      </c>
    </row>
    <row r="149" spans="1:7" x14ac:dyDescent="0.25">
      <c r="A149" s="189" t="s">
        <v>23</v>
      </c>
      <c r="B149" s="27" t="s">
        <v>77</v>
      </c>
      <c r="C149" s="198"/>
      <c r="D149" s="199">
        <f>D137</f>
        <v>1782.0131579492111</v>
      </c>
    </row>
    <row r="150" spans="1:7" x14ac:dyDescent="0.25">
      <c r="A150" s="219" t="s">
        <v>78</v>
      </c>
      <c r="B150" s="219"/>
      <c r="C150" s="55"/>
      <c r="D150" s="200">
        <f>SUM(D148:D149)</f>
        <v>9668.8932712355654</v>
      </c>
      <c r="F150" s="201">
        <v>9579.2900000000009</v>
      </c>
      <c r="G150" s="54">
        <f>D150-F150</f>
        <v>89.603271235564534</v>
      </c>
    </row>
    <row r="152" spans="1:7" x14ac:dyDescent="0.25">
      <c r="D152" s="54"/>
    </row>
  </sheetData>
  <mergeCells count="43">
    <mergeCell ref="A24:B24"/>
    <mergeCell ref="A1:D1"/>
    <mergeCell ref="A2:D2"/>
    <mergeCell ref="A3:D3"/>
    <mergeCell ref="A5:D5"/>
    <mergeCell ref="C6:D6"/>
    <mergeCell ref="C7:D7"/>
    <mergeCell ref="C8:D8"/>
    <mergeCell ref="C9:D9"/>
    <mergeCell ref="C10:D10"/>
    <mergeCell ref="C11:D11"/>
    <mergeCell ref="A14:D14"/>
    <mergeCell ref="A56:D56"/>
    <mergeCell ref="A27:D27"/>
    <mergeCell ref="A29:D29"/>
    <mergeCell ref="A34:B34"/>
    <mergeCell ref="A36:D36"/>
    <mergeCell ref="A37:D37"/>
    <mergeCell ref="A38:D38"/>
    <mergeCell ref="A40:D40"/>
    <mergeCell ref="A50:B50"/>
    <mergeCell ref="A52:D52"/>
    <mergeCell ref="A53:D53"/>
    <mergeCell ref="A54:D54"/>
    <mergeCell ref="A114:B114"/>
    <mergeCell ref="A63:B63"/>
    <mergeCell ref="A66:D66"/>
    <mergeCell ref="A72:B72"/>
    <mergeCell ref="A75:D75"/>
    <mergeCell ref="A84:B84"/>
    <mergeCell ref="A87:D87"/>
    <mergeCell ref="A90:D90"/>
    <mergeCell ref="A99:B99"/>
    <mergeCell ref="A102:D102"/>
    <mergeCell ref="A106:B106"/>
    <mergeCell ref="A109:D109"/>
    <mergeCell ref="A150:B150"/>
    <mergeCell ref="A117:D117"/>
    <mergeCell ref="A124:B124"/>
    <mergeCell ref="A127:D127"/>
    <mergeCell ref="A137:B137"/>
    <mergeCell ref="A140:D140"/>
    <mergeCell ref="A148:B148"/>
  </mergeCells>
  <pageMargins left="0.511811024" right="0.511811024" top="0.78740157499999996" bottom="0.78740157499999996" header="0.31496062000000002" footer="0.31496062000000002"/>
  <pageSetup paperSize="9" scale="56" fitToHeight="0" orientation="portrait" r:id="rId1"/>
  <rowBreaks count="2" manualBreakCount="2">
    <brk id="55" max="3" man="1"/>
    <brk id="7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I150"/>
  <sheetViews>
    <sheetView showGridLines="0" view="pageBreakPreview" topLeftCell="A109" zoomScaleNormal="115" zoomScaleSheetLayoutView="100" workbookViewId="0">
      <selection activeCell="A131" sqref="A131:D131"/>
    </sheetView>
  </sheetViews>
  <sheetFormatPr defaultColWidth="9.140625" defaultRowHeight="15.75" x14ac:dyDescent="0.25"/>
  <cols>
    <col min="1" max="1" width="9.140625" style="8"/>
    <col min="2" max="2" width="72.140625" style="8" customWidth="1"/>
    <col min="3" max="3" width="20" style="8" customWidth="1"/>
    <col min="4" max="4" width="28.85546875" style="8" customWidth="1"/>
    <col min="5" max="5" width="12.7109375" style="8" hidden="1" customWidth="1"/>
    <col min="6" max="6" width="38.42578125" style="8" customWidth="1"/>
    <col min="7" max="7" width="15.140625" style="8" customWidth="1"/>
    <col min="8" max="16384" width="9.140625" style="8"/>
  </cols>
  <sheetData>
    <row r="1" spans="1:4" ht="23.25" x14ac:dyDescent="0.35">
      <c r="A1" s="232" t="s">
        <v>79</v>
      </c>
      <c r="B1" s="232"/>
      <c r="C1" s="232"/>
      <c r="D1" s="232"/>
    </row>
    <row r="2" spans="1:4" ht="23.25" x14ac:dyDescent="0.35">
      <c r="A2" s="232" t="s">
        <v>80</v>
      </c>
      <c r="B2" s="232"/>
      <c r="C2" s="232"/>
      <c r="D2" s="232"/>
    </row>
    <row r="3" spans="1:4" ht="28.5" customHeight="1" x14ac:dyDescent="0.25">
      <c r="A3" s="239" t="s">
        <v>81</v>
      </c>
      <c r="B3" s="239"/>
      <c r="C3" s="239"/>
      <c r="D3" s="239"/>
    </row>
    <row r="4" spans="1:4" x14ac:dyDescent="0.25">
      <c r="A4" s="235" t="s">
        <v>135</v>
      </c>
      <c r="B4" s="235"/>
      <c r="C4" s="235"/>
      <c r="D4" s="235"/>
    </row>
    <row r="5" spans="1:4" ht="15.6" customHeight="1" x14ac:dyDescent="0.25">
      <c r="A5" s="26" t="s">
        <v>14</v>
      </c>
      <c r="B5" s="62" t="s">
        <v>137</v>
      </c>
      <c r="C5" s="224" t="s">
        <v>160</v>
      </c>
      <c r="D5" s="225"/>
    </row>
    <row r="6" spans="1:4" x14ac:dyDescent="0.25">
      <c r="A6" s="26" t="s">
        <v>16</v>
      </c>
      <c r="B6" s="62" t="s">
        <v>141</v>
      </c>
      <c r="C6" s="224"/>
      <c r="D6" s="225"/>
    </row>
    <row r="7" spans="1:4" x14ac:dyDescent="0.25">
      <c r="A7" s="26" t="s">
        <v>18</v>
      </c>
      <c r="B7" s="62" t="s">
        <v>140</v>
      </c>
      <c r="C7" s="222">
        <v>3626.5740000000001</v>
      </c>
      <c r="D7" s="223"/>
    </row>
    <row r="8" spans="1:4" ht="15.6" customHeight="1" x14ac:dyDescent="0.25">
      <c r="A8" s="26" t="s">
        <v>20</v>
      </c>
      <c r="B8" s="62" t="s">
        <v>138</v>
      </c>
      <c r="C8" s="224" t="s">
        <v>340</v>
      </c>
      <c r="D8" s="225"/>
    </row>
    <row r="9" spans="1:4" x14ac:dyDescent="0.25">
      <c r="A9" s="26" t="s">
        <v>21</v>
      </c>
      <c r="B9" s="62" t="s">
        <v>139</v>
      </c>
      <c r="C9" s="230">
        <v>45658</v>
      </c>
      <c r="D9" s="225"/>
    </row>
    <row r="10" spans="1:4" x14ac:dyDescent="0.25">
      <c r="A10" s="26" t="s">
        <v>23</v>
      </c>
      <c r="B10" s="62" t="s">
        <v>136</v>
      </c>
      <c r="C10" s="224">
        <v>12</v>
      </c>
      <c r="D10" s="225"/>
    </row>
    <row r="11" spans="1:4" x14ac:dyDescent="0.25">
      <c r="A11" s="64"/>
      <c r="B11" s="64"/>
      <c r="C11" s="64"/>
      <c r="D11" s="64"/>
    </row>
    <row r="12" spans="1:4" ht="21" customHeight="1" x14ac:dyDescent="0.25"/>
    <row r="13" spans="1:4" x14ac:dyDescent="0.25">
      <c r="A13" s="234" t="s">
        <v>11</v>
      </c>
      <c r="B13" s="234"/>
      <c r="C13" s="234"/>
      <c r="D13" s="234"/>
    </row>
    <row r="15" spans="1:4" x14ac:dyDescent="0.25">
      <c r="A15" s="25">
        <v>1</v>
      </c>
      <c r="B15" s="25" t="s">
        <v>12</v>
      </c>
      <c r="C15" s="18"/>
      <c r="D15" s="25" t="s">
        <v>13</v>
      </c>
    </row>
    <row r="16" spans="1:4" x14ac:dyDescent="0.25">
      <c r="A16" s="26" t="s">
        <v>14</v>
      </c>
      <c r="B16" s="27" t="s">
        <v>15</v>
      </c>
      <c r="C16" s="18"/>
      <c r="D16" s="75">
        <f>C7</f>
        <v>3626.5740000000001</v>
      </c>
    </row>
    <row r="17" spans="1:4" x14ac:dyDescent="0.25">
      <c r="A17" s="26" t="s">
        <v>16</v>
      </c>
      <c r="B17" s="27" t="s">
        <v>17</v>
      </c>
      <c r="C17" s="18"/>
      <c r="D17" s="22"/>
    </row>
    <row r="18" spans="1:4" x14ac:dyDescent="0.25">
      <c r="A18" s="26" t="s">
        <v>18</v>
      </c>
      <c r="B18" s="27" t="s">
        <v>19</v>
      </c>
      <c r="C18" s="18"/>
      <c r="D18" s="22"/>
    </row>
    <row r="19" spans="1:4" x14ac:dyDescent="0.25">
      <c r="A19" s="26" t="s">
        <v>20</v>
      </c>
      <c r="B19" s="27" t="s">
        <v>0</v>
      </c>
      <c r="C19" s="18"/>
      <c r="D19" s="22"/>
    </row>
    <row r="20" spans="1:4" x14ac:dyDescent="0.25">
      <c r="A20" s="26" t="s">
        <v>21</v>
      </c>
      <c r="B20" s="27" t="s">
        <v>22</v>
      </c>
      <c r="C20" s="18"/>
      <c r="D20" s="22"/>
    </row>
    <row r="21" spans="1:4" x14ac:dyDescent="0.25">
      <c r="A21" s="26"/>
      <c r="B21" s="27"/>
      <c r="C21" s="18"/>
      <c r="D21" s="22"/>
    </row>
    <row r="22" spans="1:4" x14ac:dyDescent="0.25">
      <c r="A22" s="26" t="s">
        <v>24</v>
      </c>
      <c r="B22" s="27" t="s">
        <v>25</v>
      </c>
      <c r="C22" s="18"/>
      <c r="D22" s="22"/>
    </row>
    <row r="23" spans="1:4" x14ac:dyDescent="0.25">
      <c r="A23" s="219" t="s">
        <v>1</v>
      </c>
      <c r="B23" s="219"/>
      <c r="C23" s="18"/>
      <c r="D23" s="75">
        <f>SUM(D16:D22)</f>
        <v>3626.5740000000001</v>
      </c>
    </row>
    <row r="25" spans="1:4" ht="5.45" customHeight="1" x14ac:dyDescent="0.25"/>
    <row r="26" spans="1:4" x14ac:dyDescent="0.25">
      <c r="A26" s="229" t="s">
        <v>26</v>
      </c>
      <c r="B26" s="229"/>
      <c r="C26" s="229"/>
      <c r="D26" s="229"/>
    </row>
    <row r="27" spans="1:4" x14ac:dyDescent="0.25">
      <c r="A27" s="2"/>
    </row>
    <row r="28" spans="1:4" x14ac:dyDescent="0.25">
      <c r="A28" s="228" t="s">
        <v>27</v>
      </c>
      <c r="B28" s="228"/>
      <c r="C28" s="228"/>
      <c r="D28" s="228"/>
    </row>
    <row r="29" spans="1:4" ht="16.5" thickBot="1" x14ac:dyDescent="0.3"/>
    <row r="30" spans="1:4" ht="16.5" thickBot="1" x14ac:dyDescent="0.3">
      <c r="A30" s="3" t="s">
        <v>28</v>
      </c>
      <c r="B30" s="17" t="s">
        <v>29</v>
      </c>
      <c r="C30" s="20" t="s">
        <v>91</v>
      </c>
      <c r="D30" s="21" t="s">
        <v>13</v>
      </c>
    </row>
    <row r="31" spans="1:4" ht="16.5" thickBot="1" x14ac:dyDescent="0.3">
      <c r="A31" s="4" t="s">
        <v>14</v>
      </c>
      <c r="B31" s="19" t="s">
        <v>30</v>
      </c>
      <c r="C31" s="23">
        <f>1/12</f>
        <v>8.3333333333333329E-2</v>
      </c>
      <c r="D31" s="22">
        <f>C31*D23</f>
        <v>302.21449999999999</v>
      </c>
    </row>
    <row r="32" spans="1:4" ht="16.5" thickBot="1" x14ac:dyDescent="0.3">
      <c r="A32" s="4" t="s">
        <v>16</v>
      </c>
      <c r="B32" s="19" t="s">
        <v>31</v>
      </c>
      <c r="C32" s="24">
        <f>1/12+1/12*1/3</f>
        <v>0.1111111111111111</v>
      </c>
      <c r="D32" s="22">
        <f>D23*C32</f>
        <v>402.95266666666663</v>
      </c>
    </row>
    <row r="33" spans="1:4" ht="16.5" thickBot="1" x14ac:dyDescent="0.3">
      <c r="A33" s="220" t="s">
        <v>1</v>
      </c>
      <c r="B33" s="227"/>
      <c r="C33" s="23">
        <f>SUM(C31:C32)</f>
        <v>0.19444444444444442</v>
      </c>
      <c r="D33" s="22">
        <f>SUM(D31:D32)</f>
        <v>705.16716666666662</v>
      </c>
    </row>
    <row r="34" spans="1:4" ht="3" customHeight="1" x14ac:dyDescent="0.25"/>
    <row r="35" spans="1:4" ht="62.45" customHeight="1" x14ac:dyDescent="0.25">
      <c r="A35" s="226" t="s">
        <v>92</v>
      </c>
      <c r="B35" s="226"/>
      <c r="C35" s="226"/>
      <c r="D35" s="226"/>
    </row>
    <row r="36" spans="1:4" ht="56.45" customHeight="1" x14ac:dyDescent="0.25">
      <c r="A36" s="226" t="s">
        <v>93</v>
      </c>
      <c r="B36" s="226"/>
      <c r="C36" s="226"/>
      <c r="D36" s="226"/>
    </row>
    <row r="37" spans="1:4" ht="65.45" customHeight="1" x14ac:dyDescent="0.25">
      <c r="A37" s="226" t="s">
        <v>94</v>
      </c>
      <c r="B37" s="226"/>
      <c r="C37" s="226"/>
      <c r="D37" s="226"/>
    </row>
    <row r="38" spans="1:4" ht="3.6" customHeight="1" x14ac:dyDescent="0.25"/>
    <row r="39" spans="1:4" ht="32.25" customHeight="1" x14ac:dyDescent="0.25">
      <c r="A39" s="231" t="s">
        <v>32</v>
      </c>
      <c r="B39" s="231"/>
      <c r="C39" s="231"/>
      <c r="D39" s="231"/>
    </row>
    <row r="40" spans="1:4" ht="16.5" thickBot="1" x14ac:dyDescent="0.3"/>
    <row r="41" spans="1:4" ht="16.5" thickBot="1" x14ac:dyDescent="0.3">
      <c r="A41" s="3" t="s">
        <v>33</v>
      </c>
      <c r="B41" s="10" t="s">
        <v>34</v>
      </c>
      <c r="C41" s="10" t="s">
        <v>35</v>
      </c>
      <c r="D41" s="10" t="s">
        <v>13</v>
      </c>
    </row>
    <row r="42" spans="1:4" ht="16.5" thickBot="1" x14ac:dyDescent="0.3">
      <c r="A42" s="4" t="s">
        <v>14</v>
      </c>
      <c r="B42" s="5" t="s">
        <v>36</v>
      </c>
      <c r="C42" s="6">
        <v>0.2</v>
      </c>
      <c r="D42" s="11">
        <f t="shared" ref="D42:D49" si="0">($D$23+$D$33)*C42</f>
        <v>866.34823333333338</v>
      </c>
    </row>
    <row r="43" spans="1:4" ht="16.5" thickBot="1" x14ac:dyDescent="0.3">
      <c r="A43" s="4" t="s">
        <v>16</v>
      </c>
      <c r="B43" s="5" t="s">
        <v>37</v>
      </c>
      <c r="C43" s="6">
        <v>2.5000000000000001E-2</v>
      </c>
      <c r="D43" s="11">
        <f t="shared" si="0"/>
        <v>108.29352916666667</v>
      </c>
    </row>
    <row r="44" spans="1:4" ht="16.5" thickBot="1" x14ac:dyDescent="0.3">
      <c r="A44" s="4" t="s">
        <v>18</v>
      </c>
      <c r="B44" s="5" t="s">
        <v>38</v>
      </c>
      <c r="C44" s="13">
        <v>0.03</v>
      </c>
      <c r="D44" s="11">
        <f t="shared" si="0"/>
        <v>129.952235</v>
      </c>
    </row>
    <row r="45" spans="1:4" ht="16.5" thickBot="1" x14ac:dyDescent="0.3">
      <c r="A45" s="4" t="s">
        <v>20</v>
      </c>
      <c r="B45" s="5" t="s">
        <v>39</v>
      </c>
      <c r="C45" s="6">
        <v>1.4999999999999999E-2</v>
      </c>
      <c r="D45" s="11">
        <f t="shared" si="0"/>
        <v>64.976117500000001</v>
      </c>
    </row>
    <row r="46" spans="1:4" ht="16.5" thickBot="1" x14ac:dyDescent="0.3">
      <c r="A46" s="4" t="s">
        <v>21</v>
      </c>
      <c r="B46" s="5" t="s">
        <v>40</v>
      </c>
      <c r="C46" s="6">
        <v>0.01</v>
      </c>
      <c r="D46" s="11">
        <f t="shared" si="0"/>
        <v>43.317411666666665</v>
      </c>
    </row>
    <row r="47" spans="1:4" ht="16.5" thickBot="1" x14ac:dyDescent="0.3">
      <c r="A47" s="4" t="s">
        <v>23</v>
      </c>
      <c r="B47" s="5" t="s">
        <v>3</v>
      </c>
      <c r="C47" s="6">
        <v>6.0000000000000001E-3</v>
      </c>
      <c r="D47" s="11">
        <f t="shared" si="0"/>
        <v>25.990447</v>
      </c>
    </row>
    <row r="48" spans="1:4" ht="16.5" thickBot="1" x14ac:dyDescent="0.3">
      <c r="A48" s="4" t="s">
        <v>24</v>
      </c>
      <c r="B48" s="5" t="s">
        <v>4</v>
      </c>
      <c r="C48" s="6">
        <v>2E-3</v>
      </c>
      <c r="D48" s="11">
        <f t="shared" si="0"/>
        <v>8.6634823333333344</v>
      </c>
    </row>
    <row r="49" spans="1:4" ht="16.5" thickBot="1" x14ac:dyDescent="0.3">
      <c r="A49" s="4" t="s">
        <v>41</v>
      </c>
      <c r="B49" s="5" t="s">
        <v>5</v>
      </c>
      <c r="C49" s="6">
        <v>0.08</v>
      </c>
      <c r="D49" s="11">
        <f t="shared" si="0"/>
        <v>346.53929333333332</v>
      </c>
    </row>
    <row r="50" spans="1:4" ht="16.5" thickBot="1" x14ac:dyDescent="0.3">
      <c r="A50" s="220" t="s">
        <v>42</v>
      </c>
      <c r="B50" s="221"/>
      <c r="C50" s="6">
        <f>SUM(C42:C49)</f>
        <v>0.36800000000000005</v>
      </c>
      <c r="D50" s="11">
        <f>SUM(D42:D49)</f>
        <v>1594.0807493333334</v>
      </c>
    </row>
    <row r="51" spans="1:4" ht="7.9" customHeight="1" x14ac:dyDescent="0.25"/>
    <row r="52" spans="1:4" ht="30.6" customHeight="1" x14ac:dyDescent="0.25">
      <c r="A52" s="226" t="s">
        <v>95</v>
      </c>
      <c r="B52" s="226"/>
      <c r="C52" s="226"/>
      <c r="D52" s="226"/>
    </row>
    <row r="53" spans="1:4" ht="37.15" customHeight="1" x14ac:dyDescent="0.25">
      <c r="A53" s="226" t="s">
        <v>96</v>
      </c>
      <c r="B53" s="226"/>
      <c r="C53" s="226"/>
      <c r="D53" s="226"/>
    </row>
    <row r="54" spans="1:4" ht="37.15" customHeight="1" x14ac:dyDescent="0.25">
      <c r="A54" s="226" t="s">
        <v>97</v>
      </c>
      <c r="B54" s="226"/>
      <c r="C54" s="226"/>
      <c r="D54" s="226"/>
    </row>
    <row r="55" spans="1:4" ht="6" customHeight="1" x14ac:dyDescent="0.25"/>
    <row r="56" spans="1:4" x14ac:dyDescent="0.25">
      <c r="A56" s="228" t="s">
        <v>43</v>
      </c>
      <c r="B56" s="228"/>
      <c r="C56" s="228"/>
      <c r="D56" s="228"/>
    </row>
    <row r="57" spans="1:4" ht="16.5" thickBot="1" x14ac:dyDescent="0.3"/>
    <row r="58" spans="1:4" ht="16.5" thickBot="1" x14ac:dyDescent="0.3">
      <c r="A58" s="25" t="s">
        <v>44</v>
      </c>
      <c r="B58" s="25" t="s">
        <v>45</v>
      </c>
      <c r="C58" s="15"/>
      <c r="D58" s="25" t="s">
        <v>13</v>
      </c>
    </row>
    <row r="59" spans="1:4" x14ac:dyDescent="0.25">
      <c r="A59" s="26" t="s">
        <v>14</v>
      </c>
      <c r="B59" s="27" t="s">
        <v>290</v>
      </c>
      <c r="C59" s="18"/>
      <c r="D59" s="22">
        <v>0</v>
      </c>
    </row>
    <row r="60" spans="1:4" x14ac:dyDescent="0.25">
      <c r="A60" s="26" t="s">
        <v>16</v>
      </c>
      <c r="B60" s="27" t="s">
        <v>288</v>
      </c>
      <c r="C60" s="18"/>
      <c r="D60" s="22">
        <f>26.7*22-(0.1*26.7*22)</f>
        <v>528.66</v>
      </c>
    </row>
    <row r="61" spans="1:4" x14ac:dyDescent="0.25">
      <c r="A61" s="26" t="s">
        <v>18</v>
      </c>
      <c r="B61" s="27" t="s">
        <v>88</v>
      </c>
      <c r="C61" s="18"/>
      <c r="D61" s="22">
        <v>6</v>
      </c>
    </row>
    <row r="62" spans="1:4" x14ac:dyDescent="0.25">
      <c r="A62" s="26" t="s">
        <v>20</v>
      </c>
      <c r="B62" s="27" t="s">
        <v>158</v>
      </c>
      <c r="C62" s="18"/>
      <c r="D62" s="22">
        <v>19.899999999999999</v>
      </c>
    </row>
    <row r="63" spans="1:4" x14ac:dyDescent="0.25">
      <c r="A63" s="219" t="s">
        <v>1</v>
      </c>
      <c r="B63" s="219"/>
      <c r="C63" s="18"/>
      <c r="D63" s="22">
        <f>SUM(D59:D62)</f>
        <v>554.55999999999995</v>
      </c>
    </row>
    <row r="66" spans="1:9" x14ac:dyDescent="0.25">
      <c r="A66" s="228" t="s">
        <v>46</v>
      </c>
      <c r="B66" s="228"/>
      <c r="C66" s="228"/>
      <c r="D66" s="228"/>
    </row>
    <row r="67" spans="1:9" ht="16.5" thickBot="1" x14ac:dyDescent="0.3"/>
    <row r="68" spans="1:9" ht="16.5" thickBot="1" x14ac:dyDescent="0.3">
      <c r="A68" s="25">
        <v>2</v>
      </c>
      <c r="B68" s="25" t="s">
        <v>47</v>
      </c>
      <c r="C68" s="15" t="s">
        <v>35</v>
      </c>
      <c r="D68" s="25" t="s">
        <v>13</v>
      </c>
    </row>
    <row r="69" spans="1:9" x14ac:dyDescent="0.25">
      <c r="A69" s="26" t="s">
        <v>28</v>
      </c>
      <c r="B69" s="27" t="s">
        <v>29</v>
      </c>
      <c r="C69" s="18"/>
      <c r="D69" s="22">
        <f>D33</f>
        <v>705.16716666666662</v>
      </c>
    </row>
    <row r="70" spans="1:9" x14ac:dyDescent="0.25">
      <c r="A70" s="26" t="s">
        <v>33</v>
      </c>
      <c r="B70" s="27" t="s">
        <v>34</v>
      </c>
      <c r="C70" s="18"/>
      <c r="D70" s="22">
        <f>D50</f>
        <v>1594.0807493333334</v>
      </c>
    </row>
    <row r="71" spans="1:9" x14ac:dyDescent="0.25">
      <c r="A71" s="26" t="s">
        <v>44</v>
      </c>
      <c r="B71" s="27" t="s">
        <v>45</v>
      </c>
      <c r="C71" s="18"/>
      <c r="D71" s="22">
        <f>D63</f>
        <v>554.55999999999995</v>
      </c>
    </row>
    <row r="72" spans="1:9" x14ac:dyDescent="0.25">
      <c r="A72" s="219" t="s">
        <v>1</v>
      </c>
      <c r="B72" s="219"/>
      <c r="C72" s="18"/>
      <c r="D72" s="29">
        <f>SUM(D69:D71)</f>
        <v>2853.8079160000002</v>
      </c>
    </row>
    <row r="73" spans="1:9" x14ac:dyDescent="0.25">
      <c r="A73" s="1"/>
    </row>
    <row r="75" spans="1:9" x14ac:dyDescent="0.25">
      <c r="A75" s="229" t="s">
        <v>48</v>
      </c>
      <c r="B75" s="229"/>
      <c r="C75" s="229"/>
      <c r="D75" s="229"/>
    </row>
    <row r="76" spans="1:9" ht="16.5" thickBot="1" x14ac:dyDescent="0.3"/>
    <row r="77" spans="1:9" ht="16.5" thickBot="1" x14ac:dyDescent="0.3">
      <c r="A77" s="25">
        <v>3</v>
      </c>
      <c r="B77" s="25" t="s">
        <v>49</v>
      </c>
      <c r="C77" s="16" t="s">
        <v>35</v>
      </c>
      <c r="D77" s="25" t="s">
        <v>13</v>
      </c>
    </row>
    <row r="78" spans="1:9" x14ac:dyDescent="0.25">
      <c r="A78" s="26" t="s">
        <v>14</v>
      </c>
      <c r="B78" s="28" t="s">
        <v>50</v>
      </c>
      <c r="C78" s="24">
        <f>'Media de custo com mão de obra'!T5</f>
        <v>4.1999999999999997E-3</v>
      </c>
      <c r="D78" s="22">
        <f>C78*$D$23</f>
        <v>15.231610799999999</v>
      </c>
    </row>
    <row r="79" spans="1:9" x14ac:dyDescent="0.25">
      <c r="A79" s="26" t="s">
        <v>16</v>
      </c>
      <c r="B79" s="28" t="s">
        <v>51</v>
      </c>
      <c r="C79" s="24">
        <f>C49*C78</f>
        <v>3.3599999999999998E-4</v>
      </c>
      <c r="D79" s="22">
        <f t="shared" ref="D79:D83" si="1">C79*$D$23</f>
        <v>1.218528864</v>
      </c>
    </row>
    <row r="80" spans="1:9" x14ac:dyDescent="0.25">
      <c r="A80" s="26" t="s">
        <v>18</v>
      </c>
      <c r="B80" s="28" t="s">
        <v>123</v>
      </c>
      <c r="C80" s="24">
        <v>0.02</v>
      </c>
      <c r="D80" s="22">
        <f t="shared" si="1"/>
        <v>72.531480000000002</v>
      </c>
      <c r="F80" s="51"/>
      <c r="G80" s="51"/>
      <c r="H80" s="51"/>
      <c r="I80" s="51"/>
    </row>
    <row r="81" spans="1:4" x14ac:dyDescent="0.25">
      <c r="A81" s="26" t="s">
        <v>20</v>
      </c>
      <c r="B81" s="28" t="s">
        <v>53</v>
      </c>
      <c r="C81" s="24">
        <f>'Media de custo com mão de obra'!T6</f>
        <v>1.9400000000000001E-2</v>
      </c>
      <c r="D81" s="22">
        <f t="shared" si="1"/>
        <v>70.35553560000001</v>
      </c>
    </row>
    <row r="82" spans="1:4" x14ac:dyDescent="0.25">
      <c r="A82" s="26" t="s">
        <v>21</v>
      </c>
      <c r="B82" s="28" t="s">
        <v>54</v>
      </c>
      <c r="C82" s="24">
        <f>C50*C81</f>
        <v>7.1392000000000009E-3</v>
      </c>
      <c r="D82" s="22">
        <f t="shared" si="1"/>
        <v>25.890837100800002</v>
      </c>
    </row>
    <row r="83" spans="1:4" x14ac:dyDescent="0.25">
      <c r="A83" s="26" t="s">
        <v>23</v>
      </c>
      <c r="B83" s="28" t="s">
        <v>124</v>
      </c>
      <c r="C83" s="24">
        <v>0.02</v>
      </c>
      <c r="D83" s="22">
        <f t="shared" si="1"/>
        <v>72.531480000000002</v>
      </c>
    </row>
    <row r="84" spans="1:4" x14ac:dyDescent="0.25">
      <c r="A84" s="219" t="s">
        <v>1</v>
      </c>
      <c r="B84" s="219"/>
      <c r="C84" s="23">
        <f>SUM(C78:C83)</f>
        <v>7.1075200000000005E-2</v>
      </c>
      <c r="D84" s="22">
        <f>SUM(D78:D83)</f>
        <v>257.75947236479999</v>
      </c>
    </row>
    <row r="87" spans="1:4" x14ac:dyDescent="0.25">
      <c r="A87" s="229" t="s">
        <v>56</v>
      </c>
      <c r="B87" s="229"/>
      <c r="C87" s="229"/>
      <c r="D87" s="229"/>
    </row>
    <row r="90" spans="1:4" x14ac:dyDescent="0.25">
      <c r="A90" s="228" t="s">
        <v>57</v>
      </c>
      <c r="B90" s="228"/>
      <c r="C90" s="228"/>
      <c r="D90" s="228"/>
    </row>
    <row r="91" spans="1:4" ht="16.5" thickBot="1" x14ac:dyDescent="0.3">
      <c r="A91" s="2"/>
    </row>
    <row r="92" spans="1:4" ht="16.5" thickBot="1" x14ac:dyDescent="0.3">
      <c r="A92" s="25" t="s">
        <v>58</v>
      </c>
      <c r="B92" s="25" t="s">
        <v>59</v>
      </c>
      <c r="C92" s="16" t="s">
        <v>35</v>
      </c>
      <c r="D92" s="25" t="s">
        <v>13</v>
      </c>
    </row>
    <row r="93" spans="1:4" x14ac:dyDescent="0.25">
      <c r="A93" s="26" t="s">
        <v>14</v>
      </c>
      <c r="B93" s="27" t="s">
        <v>2</v>
      </c>
      <c r="C93" s="32">
        <f>D93/D23</f>
        <v>0.14345071604383519</v>
      </c>
      <c r="D93" s="22">
        <f>'Custo de Substitução nas Ferias'!G13</f>
        <v>520.23463708595557</v>
      </c>
    </row>
    <row r="94" spans="1:4" x14ac:dyDescent="0.25">
      <c r="A94" s="26" t="s">
        <v>16</v>
      </c>
      <c r="B94" s="27" t="s">
        <v>59</v>
      </c>
      <c r="C94" s="32">
        <f>'Media de custo com mão de obra'!T8</f>
        <v>6.0999999999999995E-3</v>
      </c>
      <c r="D94" s="22">
        <f>C94*$D$23</f>
        <v>22.122101399999998</v>
      </c>
    </row>
    <row r="95" spans="1:4" x14ac:dyDescent="0.25">
      <c r="A95" s="26" t="s">
        <v>18</v>
      </c>
      <c r="B95" s="27" t="s">
        <v>60</v>
      </c>
      <c r="C95" s="32">
        <f>'Media de custo com mão de obra'!T9</f>
        <v>2.5000000000000001E-4</v>
      </c>
      <c r="D95" s="22">
        <f t="shared" ref="D95:D98" si="2">C95*$D$23</f>
        <v>0.90664350000000005</v>
      </c>
    </row>
    <row r="96" spans="1:4" x14ac:dyDescent="0.25">
      <c r="A96" s="26" t="s">
        <v>20</v>
      </c>
      <c r="B96" s="27" t="s">
        <v>61</v>
      </c>
      <c r="C96" s="32">
        <f>'Media de custo com mão de obra'!T10</f>
        <v>2.0499999999999997E-3</v>
      </c>
      <c r="D96" s="22">
        <f t="shared" si="2"/>
        <v>7.4344766999999994</v>
      </c>
    </row>
    <row r="97" spans="1:4" x14ac:dyDescent="0.25">
      <c r="A97" s="26" t="s">
        <v>21</v>
      </c>
      <c r="B97" s="27" t="s">
        <v>62</v>
      </c>
      <c r="C97" s="32">
        <f>'Media de custo com mão de obra'!T11</f>
        <v>5.9999999999999995E-4</v>
      </c>
      <c r="D97" s="22">
        <f t="shared" si="2"/>
        <v>2.1759443999999997</v>
      </c>
    </row>
    <row r="98" spans="1:4" x14ac:dyDescent="0.25">
      <c r="A98" s="26" t="s">
        <v>23</v>
      </c>
      <c r="B98" s="27" t="s">
        <v>25</v>
      </c>
      <c r="C98" s="32">
        <f>'Media de custo com mão de obra'!T12</f>
        <v>0</v>
      </c>
      <c r="D98" s="22">
        <f t="shared" si="2"/>
        <v>0</v>
      </c>
    </row>
    <row r="99" spans="1:4" x14ac:dyDescent="0.25">
      <c r="A99" s="219" t="s">
        <v>42</v>
      </c>
      <c r="B99" s="219"/>
      <c r="C99" s="33">
        <f>SUM(C93:C98)</f>
        <v>0.15245071604383517</v>
      </c>
      <c r="D99" s="29">
        <f>SUM(D93:D98)</f>
        <v>552.87380308595561</v>
      </c>
    </row>
    <row r="102" spans="1:4" x14ac:dyDescent="0.25">
      <c r="A102" s="228" t="s">
        <v>63</v>
      </c>
      <c r="B102" s="228"/>
      <c r="C102" s="228"/>
      <c r="D102" s="228"/>
    </row>
    <row r="103" spans="1:4" x14ac:dyDescent="0.25">
      <c r="A103" s="2"/>
    </row>
    <row r="104" spans="1:4" x14ac:dyDescent="0.25">
      <c r="A104" s="25" t="s">
        <v>64</v>
      </c>
      <c r="B104" s="25" t="s">
        <v>65</v>
      </c>
      <c r="C104" s="18"/>
      <c r="D104" s="25" t="s">
        <v>13</v>
      </c>
    </row>
    <row r="105" spans="1:4" x14ac:dyDescent="0.25">
      <c r="A105" s="26" t="s">
        <v>14</v>
      </c>
      <c r="B105" s="27" t="s">
        <v>82</v>
      </c>
      <c r="C105" s="18"/>
      <c r="D105" s="22">
        <v>0</v>
      </c>
    </row>
    <row r="106" spans="1:4" x14ac:dyDescent="0.25">
      <c r="A106" s="219" t="s">
        <v>1</v>
      </c>
      <c r="B106" s="219"/>
      <c r="C106" s="18"/>
      <c r="D106" s="22">
        <f>D105</f>
        <v>0</v>
      </c>
    </row>
    <row r="109" spans="1:4" x14ac:dyDescent="0.25">
      <c r="A109" s="228" t="s">
        <v>66</v>
      </c>
      <c r="B109" s="228"/>
      <c r="C109" s="228"/>
      <c r="D109" s="228"/>
    </row>
    <row r="110" spans="1:4" x14ac:dyDescent="0.25">
      <c r="A110" s="2"/>
    </row>
    <row r="111" spans="1:4" x14ac:dyDescent="0.25">
      <c r="A111" s="25">
        <v>4</v>
      </c>
      <c r="B111" s="25" t="s">
        <v>67</v>
      </c>
      <c r="C111" s="18"/>
      <c r="D111" s="25" t="s">
        <v>13</v>
      </c>
    </row>
    <row r="112" spans="1:4" x14ac:dyDescent="0.25">
      <c r="A112" s="26" t="s">
        <v>58</v>
      </c>
      <c r="B112" s="27" t="s">
        <v>59</v>
      </c>
      <c r="C112" s="18"/>
      <c r="D112" s="22">
        <f>D99</f>
        <v>552.87380308595561</v>
      </c>
    </row>
    <row r="113" spans="1:4" x14ac:dyDescent="0.25">
      <c r="A113" s="26" t="s">
        <v>64</v>
      </c>
      <c r="B113" s="27" t="s">
        <v>65</v>
      </c>
      <c r="C113" s="18"/>
      <c r="D113" s="22">
        <f>D106</f>
        <v>0</v>
      </c>
    </row>
    <row r="114" spans="1:4" x14ac:dyDescent="0.25">
      <c r="A114" s="219" t="s">
        <v>1</v>
      </c>
      <c r="B114" s="219"/>
      <c r="C114" s="18"/>
      <c r="D114" s="22">
        <f>SUM(D112:D113)</f>
        <v>552.87380308595561</v>
      </c>
    </row>
    <row r="117" spans="1:4" x14ac:dyDescent="0.25">
      <c r="A117" s="229" t="s">
        <v>68</v>
      </c>
      <c r="B117" s="229"/>
      <c r="C117" s="229"/>
      <c r="D117" s="229"/>
    </row>
    <row r="119" spans="1:4" x14ac:dyDescent="0.25">
      <c r="A119" s="25">
        <v>5</v>
      </c>
      <c r="B119" s="30" t="s">
        <v>6</v>
      </c>
      <c r="C119" s="18"/>
      <c r="D119" s="25" t="s">
        <v>13</v>
      </c>
    </row>
    <row r="120" spans="1:4" x14ac:dyDescent="0.25">
      <c r="A120" s="26" t="s">
        <v>14</v>
      </c>
      <c r="B120" s="27" t="s">
        <v>69</v>
      </c>
      <c r="C120" s="18"/>
      <c r="D120" s="120">
        <f>Uniformes!P24</f>
        <v>33.334256666666661</v>
      </c>
    </row>
    <row r="121" spans="1:4" x14ac:dyDescent="0.25">
      <c r="A121" s="26" t="s">
        <v>16</v>
      </c>
      <c r="B121" s="27" t="s">
        <v>70</v>
      </c>
      <c r="C121" s="18"/>
      <c r="D121" s="22">
        <v>0</v>
      </c>
    </row>
    <row r="122" spans="1:4" x14ac:dyDescent="0.25">
      <c r="A122" s="26" t="s">
        <v>18</v>
      </c>
      <c r="B122" s="27" t="s">
        <v>89</v>
      </c>
      <c r="C122" s="18"/>
      <c r="D122" s="48"/>
    </row>
    <row r="123" spans="1:4" ht="31.5" x14ac:dyDescent="0.25">
      <c r="A123" s="26" t="s">
        <v>20</v>
      </c>
      <c r="B123" s="27" t="s">
        <v>338</v>
      </c>
      <c r="C123" s="18"/>
      <c r="D123" s="22">
        <f>155/103</f>
        <v>1.5048543689320388</v>
      </c>
    </row>
    <row r="124" spans="1:4" x14ac:dyDescent="0.25">
      <c r="A124" s="219" t="s">
        <v>42</v>
      </c>
      <c r="B124" s="219"/>
      <c r="C124" s="18"/>
      <c r="D124" s="48">
        <f>SUM(D120:D123)</f>
        <v>34.839111035598698</v>
      </c>
    </row>
    <row r="127" spans="1:4" x14ac:dyDescent="0.25">
      <c r="A127" s="229" t="s">
        <v>71</v>
      </c>
      <c r="B127" s="229"/>
      <c r="C127" s="229"/>
      <c r="D127" s="229"/>
    </row>
    <row r="128" spans="1:4" ht="16.5" thickBot="1" x14ac:dyDescent="0.3"/>
    <row r="129" spans="1:6" ht="16.5" thickBot="1" x14ac:dyDescent="0.3">
      <c r="A129" s="3">
        <v>6</v>
      </c>
      <c r="B129" s="7" t="s">
        <v>7</v>
      </c>
      <c r="C129" s="10" t="s">
        <v>35</v>
      </c>
      <c r="D129" s="10" t="s">
        <v>13</v>
      </c>
    </row>
    <row r="130" spans="1:6" ht="16.5" thickBot="1" x14ac:dyDescent="0.3">
      <c r="A130" s="4" t="s">
        <v>14</v>
      </c>
      <c r="B130" s="5" t="s">
        <v>8</v>
      </c>
      <c r="C130" s="14">
        <f>'Media de custo com mão de obra'!T14</f>
        <v>1.66E-2</v>
      </c>
      <c r="D130" s="11">
        <f>(D23+D72+D84+D114+D124)*C130</f>
        <v>121.60918142127349</v>
      </c>
    </row>
    <row r="131" spans="1:6" ht="16.5" thickBot="1" x14ac:dyDescent="0.3">
      <c r="A131" s="4" t="s">
        <v>131</v>
      </c>
      <c r="B131" s="5" t="s">
        <v>345</v>
      </c>
      <c r="C131" s="14"/>
      <c r="D131" s="11">
        <v>75</v>
      </c>
    </row>
    <row r="132" spans="1:6" ht="16.5" thickBot="1" x14ac:dyDescent="0.3">
      <c r="A132" s="4" t="s">
        <v>16</v>
      </c>
      <c r="B132" s="5" t="s">
        <v>10</v>
      </c>
      <c r="C132" s="14">
        <f>'Media de custo com mão de obra'!T15</f>
        <v>2.4500000000000001E-2</v>
      </c>
      <c r="D132" s="11">
        <f>(D23+D72+D84+D114+D124+D130+D131)*C132</f>
        <v>184.30035535573688</v>
      </c>
    </row>
    <row r="133" spans="1:6" ht="16.5" thickBot="1" x14ac:dyDescent="0.3">
      <c r="A133" s="4" t="s">
        <v>18</v>
      </c>
      <c r="B133" s="5" t="s">
        <v>9</v>
      </c>
      <c r="C133" s="14">
        <f>SUM(C134,C136)</f>
        <v>0.14250000000000002</v>
      </c>
      <c r="D133" s="11">
        <f>((D23+D72+D84+D114+D124+D130+D131+D132)/(1-(C133)))*C133</f>
        <v>1280.7158566705887</v>
      </c>
    </row>
    <row r="134" spans="1:6" ht="16.5" thickBot="1" x14ac:dyDescent="0.3">
      <c r="A134" s="4"/>
      <c r="B134" s="5" t="s">
        <v>90</v>
      </c>
      <c r="C134" s="14">
        <f>1.65%+7.6%</f>
        <v>9.2499999999999999E-2</v>
      </c>
      <c r="D134" s="11">
        <f>((D23+D72+D84+D114+D124+D130+D131+D132)/(1-(C133)))*C134</f>
        <v>831.3418718738908</v>
      </c>
    </row>
    <row r="135" spans="1:6" ht="16.5" thickBot="1" x14ac:dyDescent="0.3">
      <c r="A135" s="4"/>
      <c r="B135" s="5" t="s">
        <v>72</v>
      </c>
      <c r="C135" s="14">
        <v>0</v>
      </c>
      <c r="D135" s="11"/>
    </row>
    <row r="136" spans="1:6" ht="16.5" thickBot="1" x14ac:dyDescent="0.3">
      <c r="A136" s="4"/>
      <c r="B136" s="5" t="s">
        <v>73</v>
      </c>
      <c r="C136" s="14">
        <v>0.05</v>
      </c>
      <c r="D136" s="11">
        <f>((D23+D72+D84+D114+D124+D130+D131+D132)/(1-(C133)))*C136</f>
        <v>449.37398479669775</v>
      </c>
      <c r="F136" s="54">
        <f>D134+D136</f>
        <v>1280.7158566705884</v>
      </c>
    </row>
    <row r="137" spans="1:6" ht="16.5" thickBot="1" x14ac:dyDescent="0.3">
      <c r="A137" s="220" t="s">
        <v>42</v>
      </c>
      <c r="B137" s="221"/>
      <c r="C137" s="14">
        <f>SUM(C130:C133)</f>
        <v>0.18360000000000001</v>
      </c>
      <c r="D137" s="11">
        <f>SUM(D130:D133)</f>
        <v>1661.625393447599</v>
      </c>
    </row>
    <row r="140" spans="1:6" x14ac:dyDescent="0.25">
      <c r="A140" s="229" t="s">
        <v>74</v>
      </c>
      <c r="B140" s="229"/>
      <c r="C140" s="229"/>
      <c r="D140" s="229"/>
    </row>
    <row r="141" spans="1:6" ht="16.5" thickBot="1" x14ac:dyDescent="0.3"/>
    <row r="142" spans="1:6" ht="16.5" thickBot="1" x14ac:dyDescent="0.3">
      <c r="A142" s="3"/>
      <c r="B142" s="10" t="s">
        <v>75</v>
      </c>
      <c r="C142" s="31"/>
      <c r="D142" s="10" t="s">
        <v>13</v>
      </c>
    </row>
    <row r="143" spans="1:6" ht="16.5" thickBot="1" x14ac:dyDescent="0.3">
      <c r="A143" s="9" t="s">
        <v>14</v>
      </c>
      <c r="B143" s="5" t="s">
        <v>11</v>
      </c>
      <c r="C143" s="14"/>
      <c r="D143" s="12">
        <f>D23</f>
        <v>3626.5740000000001</v>
      </c>
    </row>
    <row r="144" spans="1:6" ht="16.5" thickBot="1" x14ac:dyDescent="0.3">
      <c r="A144" s="9" t="s">
        <v>16</v>
      </c>
      <c r="B144" s="5" t="s">
        <v>26</v>
      </c>
      <c r="C144" s="14"/>
      <c r="D144" s="12">
        <f>D72</f>
        <v>2853.8079160000002</v>
      </c>
    </row>
    <row r="145" spans="1:7" ht="16.5" thickBot="1" x14ac:dyDescent="0.3">
      <c r="A145" s="9" t="s">
        <v>18</v>
      </c>
      <c r="B145" s="5" t="s">
        <v>48</v>
      </c>
      <c r="C145" s="14"/>
      <c r="D145" s="12">
        <f>D84</f>
        <v>257.75947236479999</v>
      </c>
    </row>
    <row r="146" spans="1:7" ht="16.5" thickBot="1" x14ac:dyDescent="0.3">
      <c r="A146" s="9" t="s">
        <v>20</v>
      </c>
      <c r="B146" s="5" t="s">
        <v>56</v>
      </c>
      <c r="C146" s="14"/>
      <c r="D146" s="12">
        <f>D114</f>
        <v>552.87380308595561</v>
      </c>
    </row>
    <row r="147" spans="1:7" ht="16.5" thickBot="1" x14ac:dyDescent="0.3">
      <c r="A147" s="9" t="s">
        <v>21</v>
      </c>
      <c r="B147" s="5" t="s">
        <v>68</v>
      </c>
      <c r="C147" s="14"/>
      <c r="D147" s="12">
        <f>D124</f>
        <v>34.839111035598698</v>
      </c>
    </row>
    <row r="148" spans="1:7" ht="16.5" thickBot="1" x14ac:dyDescent="0.3">
      <c r="A148" s="220" t="s">
        <v>76</v>
      </c>
      <c r="B148" s="221"/>
      <c r="C148" s="14"/>
      <c r="D148" s="12">
        <f>SUM(D143:D147)</f>
        <v>7325.8543024863548</v>
      </c>
    </row>
    <row r="149" spans="1:7" ht="16.5" thickBot="1" x14ac:dyDescent="0.3">
      <c r="A149" s="9" t="s">
        <v>23</v>
      </c>
      <c r="B149" s="5" t="s">
        <v>77</v>
      </c>
      <c r="C149" s="14"/>
      <c r="D149" s="12">
        <f>D137</f>
        <v>1661.625393447599</v>
      </c>
    </row>
    <row r="150" spans="1:7" ht="16.5" thickBot="1" x14ac:dyDescent="0.3">
      <c r="A150" s="220" t="s">
        <v>78</v>
      </c>
      <c r="B150" s="221"/>
      <c r="D150" s="12">
        <f>SUM(D148:D149)</f>
        <v>8987.4796959339546</v>
      </c>
      <c r="F150" s="201">
        <v>8902.7199999999993</v>
      </c>
      <c r="G150" s="54">
        <f>D150-F150</f>
        <v>84.7596959339553</v>
      </c>
    </row>
  </sheetData>
  <mergeCells count="43">
    <mergeCell ref="A56:D56"/>
    <mergeCell ref="A66:D66"/>
    <mergeCell ref="A75:D75"/>
    <mergeCell ref="A87:D87"/>
    <mergeCell ref="A90:D90"/>
    <mergeCell ref="A84:B84"/>
    <mergeCell ref="A72:B72"/>
    <mergeCell ref="A63:B63"/>
    <mergeCell ref="A1:D1"/>
    <mergeCell ref="A2:D2"/>
    <mergeCell ref="A3:D3"/>
    <mergeCell ref="A23:B23"/>
    <mergeCell ref="A26:D26"/>
    <mergeCell ref="A13:D13"/>
    <mergeCell ref="A4:D4"/>
    <mergeCell ref="C5:D5"/>
    <mergeCell ref="C6:D6"/>
    <mergeCell ref="C7:D7"/>
    <mergeCell ref="C8:D8"/>
    <mergeCell ref="C9:D9"/>
    <mergeCell ref="C10:D10"/>
    <mergeCell ref="A37:D37"/>
    <mergeCell ref="A52:D52"/>
    <mergeCell ref="A53:D53"/>
    <mergeCell ref="A54:D54"/>
    <mergeCell ref="A28:D28"/>
    <mergeCell ref="A33:B33"/>
    <mergeCell ref="A39:D39"/>
    <mergeCell ref="A50:B50"/>
    <mergeCell ref="A35:D35"/>
    <mergeCell ref="A36:D36"/>
    <mergeCell ref="A150:B150"/>
    <mergeCell ref="A99:B99"/>
    <mergeCell ref="A106:B106"/>
    <mergeCell ref="A114:B114"/>
    <mergeCell ref="A124:B124"/>
    <mergeCell ref="A137:B137"/>
    <mergeCell ref="A148:B148"/>
    <mergeCell ref="A109:D109"/>
    <mergeCell ref="A117:D117"/>
    <mergeCell ref="A127:D127"/>
    <mergeCell ref="A140:D140"/>
    <mergeCell ref="A102:D102"/>
  </mergeCells>
  <pageMargins left="0.511811024" right="0.511811024" top="0.78740157499999996" bottom="0.78740157499999996" header="0.31496062000000002" footer="0.31496062000000002"/>
  <pageSetup paperSize="9" scale="70" fitToHeight="0" orientation="portrait" r:id="rId1"/>
  <rowBreaks count="3" manualBreakCount="3">
    <brk id="55" max="4" man="1"/>
    <brk id="73" max="16383" man="1"/>
    <brk id="138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53D211-1FF8-4FBD-891D-08F5A449E4BC}">
  <sheetPr>
    <pageSetUpPr fitToPage="1"/>
  </sheetPr>
  <dimension ref="A1:I150"/>
  <sheetViews>
    <sheetView showGridLines="0" view="pageBreakPreview" topLeftCell="A112" zoomScaleNormal="115" zoomScaleSheetLayoutView="100" workbookViewId="0">
      <selection activeCell="B21" sqref="B21"/>
    </sheetView>
  </sheetViews>
  <sheetFormatPr defaultColWidth="9.140625" defaultRowHeight="15.75" x14ac:dyDescent="0.25"/>
  <cols>
    <col min="1" max="1" width="9.140625" style="8"/>
    <col min="2" max="2" width="72.140625" style="8" customWidth="1"/>
    <col min="3" max="3" width="20" style="8" customWidth="1"/>
    <col min="4" max="4" width="28.85546875" style="8" customWidth="1"/>
    <col min="5" max="5" width="12.7109375" style="8" hidden="1" customWidth="1"/>
    <col min="6" max="6" width="38.42578125" style="8" customWidth="1"/>
    <col min="7" max="7" width="15.140625" style="8" customWidth="1"/>
    <col min="8" max="16384" width="9.140625" style="8"/>
  </cols>
  <sheetData>
    <row r="1" spans="1:4" ht="23.25" x14ac:dyDescent="0.35">
      <c r="A1" s="232" t="s">
        <v>79</v>
      </c>
      <c r="B1" s="232"/>
      <c r="C1" s="232"/>
      <c r="D1" s="232"/>
    </row>
    <row r="2" spans="1:4" ht="23.25" x14ac:dyDescent="0.35">
      <c r="A2" s="232" t="s">
        <v>80</v>
      </c>
      <c r="B2" s="232"/>
      <c r="C2" s="232"/>
      <c r="D2" s="232"/>
    </row>
    <row r="3" spans="1:4" ht="28.5" customHeight="1" x14ac:dyDescent="0.25">
      <c r="A3" s="239" t="s">
        <v>81</v>
      </c>
      <c r="B3" s="239"/>
      <c r="C3" s="239"/>
      <c r="D3" s="239"/>
    </row>
    <row r="4" spans="1:4" x14ac:dyDescent="0.25">
      <c r="A4" s="235" t="s">
        <v>135</v>
      </c>
      <c r="B4" s="235"/>
      <c r="C4" s="235"/>
      <c r="D4" s="235"/>
    </row>
    <row r="5" spans="1:4" ht="15.6" customHeight="1" x14ac:dyDescent="0.25">
      <c r="A5" s="26" t="s">
        <v>14</v>
      </c>
      <c r="B5" s="62" t="s">
        <v>137</v>
      </c>
      <c r="C5" s="224" t="s">
        <v>161</v>
      </c>
      <c r="D5" s="225"/>
    </row>
    <row r="6" spans="1:4" x14ac:dyDescent="0.25">
      <c r="A6" s="26" t="s">
        <v>16</v>
      </c>
      <c r="B6" s="62" t="s">
        <v>141</v>
      </c>
      <c r="C6" s="224" t="s">
        <v>151</v>
      </c>
      <c r="D6" s="225"/>
    </row>
    <row r="7" spans="1:4" x14ac:dyDescent="0.25">
      <c r="A7" s="26" t="s">
        <v>18</v>
      </c>
      <c r="B7" s="62" t="s">
        <v>140</v>
      </c>
      <c r="C7" s="222">
        <v>2358.0729999999999</v>
      </c>
      <c r="D7" s="223"/>
    </row>
    <row r="8" spans="1:4" ht="15.6" customHeight="1" x14ac:dyDescent="0.25">
      <c r="A8" s="26" t="s">
        <v>20</v>
      </c>
      <c r="B8" s="62" t="s">
        <v>138</v>
      </c>
      <c r="C8" s="224" t="s">
        <v>340</v>
      </c>
      <c r="D8" s="225"/>
    </row>
    <row r="9" spans="1:4" x14ac:dyDescent="0.25">
      <c r="A9" s="26" t="s">
        <v>21</v>
      </c>
      <c r="B9" s="62" t="s">
        <v>139</v>
      </c>
      <c r="C9" s="230">
        <v>45658</v>
      </c>
      <c r="D9" s="225"/>
    </row>
    <row r="10" spans="1:4" x14ac:dyDescent="0.25">
      <c r="A10" s="26" t="s">
        <v>23</v>
      </c>
      <c r="B10" s="62" t="s">
        <v>136</v>
      </c>
      <c r="C10" s="224">
        <v>12</v>
      </c>
      <c r="D10" s="225"/>
    </row>
    <row r="11" spans="1:4" x14ac:dyDescent="0.25">
      <c r="A11" s="64"/>
      <c r="B11" s="64"/>
      <c r="C11" s="64"/>
      <c r="D11" s="64"/>
    </row>
    <row r="12" spans="1:4" ht="21" customHeight="1" x14ac:dyDescent="0.25"/>
    <row r="13" spans="1:4" x14ac:dyDescent="0.25">
      <c r="A13" s="234" t="s">
        <v>11</v>
      </c>
      <c r="B13" s="234"/>
      <c r="C13" s="234"/>
      <c r="D13" s="234"/>
    </row>
    <row r="15" spans="1:4" x14ac:dyDescent="0.25">
      <c r="A15" s="66">
        <v>1</v>
      </c>
      <c r="B15" s="66" t="s">
        <v>12</v>
      </c>
      <c r="C15" s="18"/>
      <c r="D15" s="66" t="s">
        <v>13</v>
      </c>
    </row>
    <row r="16" spans="1:4" x14ac:dyDescent="0.25">
      <c r="A16" s="26" t="s">
        <v>14</v>
      </c>
      <c r="B16" s="27" t="s">
        <v>15</v>
      </c>
      <c r="C16" s="18"/>
      <c r="D16" s="75">
        <f>C7</f>
        <v>2358.0729999999999</v>
      </c>
    </row>
    <row r="17" spans="1:4" x14ac:dyDescent="0.25">
      <c r="A17" s="26" t="s">
        <v>16</v>
      </c>
      <c r="B17" s="27" t="s">
        <v>17</v>
      </c>
      <c r="C17" s="18"/>
      <c r="D17" s="22"/>
    </row>
    <row r="18" spans="1:4" x14ac:dyDescent="0.25">
      <c r="A18" s="26" t="s">
        <v>18</v>
      </c>
      <c r="B18" s="27" t="s">
        <v>19</v>
      </c>
      <c r="C18" s="18"/>
      <c r="D18" s="22"/>
    </row>
    <row r="19" spans="1:4" x14ac:dyDescent="0.25">
      <c r="A19" s="26" t="s">
        <v>20</v>
      </c>
      <c r="B19" s="27" t="s">
        <v>0</v>
      </c>
      <c r="C19" s="18"/>
      <c r="D19" s="22"/>
    </row>
    <row r="20" spans="1:4" x14ac:dyDescent="0.25">
      <c r="A20" s="26" t="s">
        <v>21</v>
      </c>
      <c r="B20" s="27" t="s">
        <v>22</v>
      </c>
      <c r="C20" s="18"/>
      <c r="D20" s="22"/>
    </row>
    <row r="21" spans="1:4" x14ac:dyDescent="0.25">
      <c r="A21" s="26"/>
      <c r="B21" s="27"/>
      <c r="C21" s="18"/>
      <c r="D21" s="22"/>
    </row>
    <row r="22" spans="1:4" x14ac:dyDescent="0.25">
      <c r="A22" s="26" t="s">
        <v>24</v>
      </c>
      <c r="B22" s="27" t="s">
        <v>25</v>
      </c>
      <c r="C22" s="18"/>
      <c r="D22" s="22"/>
    </row>
    <row r="23" spans="1:4" x14ac:dyDescent="0.25">
      <c r="A23" s="219" t="s">
        <v>1</v>
      </c>
      <c r="B23" s="219"/>
      <c r="C23" s="18"/>
      <c r="D23" s="75">
        <f>SUM(D16:D22)</f>
        <v>2358.0729999999999</v>
      </c>
    </row>
    <row r="25" spans="1:4" ht="5.45" customHeight="1" x14ac:dyDescent="0.25"/>
    <row r="26" spans="1:4" x14ac:dyDescent="0.25">
      <c r="A26" s="229" t="s">
        <v>26</v>
      </c>
      <c r="B26" s="229"/>
      <c r="C26" s="229"/>
      <c r="D26" s="229"/>
    </row>
    <row r="27" spans="1:4" x14ac:dyDescent="0.25">
      <c r="A27" s="2"/>
    </row>
    <row r="28" spans="1:4" x14ac:dyDescent="0.25">
      <c r="A28" s="228" t="s">
        <v>27</v>
      </c>
      <c r="B28" s="228"/>
      <c r="C28" s="228"/>
      <c r="D28" s="228"/>
    </row>
    <row r="29" spans="1:4" ht="16.5" thickBot="1" x14ac:dyDescent="0.3"/>
    <row r="30" spans="1:4" ht="16.5" thickBot="1" x14ac:dyDescent="0.3">
      <c r="A30" s="3" t="s">
        <v>28</v>
      </c>
      <c r="B30" s="68" t="s">
        <v>29</v>
      </c>
      <c r="C30" s="20" t="s">
        <v>91</v>
      </c>
      <c r="D30" s="21" t="s">
        <v>13</v>
      </c>
    </row>
    <row r="31" spans="1:4" ht="16.5" thickBot="1" x14ac:dyDescent="0.3">
      <c r="A31" s="4" t="s">
        <v>14</v>
      </c>
      <c r="B31" s="19" t="s">
        <v>30</v>
      </c>
      <c r="C31" s="23">
        <f>1/12</f>
        <v>8.3333333333333329E-2</v>
      </c>
      <c r="D31" s="22">
        <f>C31*D23</f>
        <v>196.50608333333332</v>
      </c>
    </row>
    <row r="32" spans="1:4" ht="16.5" thickBot="1" x14ac:dyDescent="0.3">
      <c r="A32" s="4" t="s">
        <v>16</v>
      </c>
      <c r="B32" s="19" t="s">
        <v>31</v>
      </c>
      <c r="C32" s="24">
        <f>1/12+1/12*1/3</f>
        <v>0.1111111111111111</v>
      </c>
      <c r="D32" s="22">
        <f>D23*C32</f>
        <v>262.00811111111108</v>
      </c>
    </row>
    <row r="33" spans="1:4" ht="16.5" thickBot="1" x14ac:dyDescent="0.3">
      <c r="A33" s="220" t="s">
        <v>1</v>
      </c>
      <c r="B33" s="227"/>
      <c r="C33" s="23">
        <f>SUM(C31:C32)</f>
        <v>0.19444444444444442</v>
      </c>
      <c r="D33" s="22">
        <f>SUM(D31:D32)</f>
        <v>458.5141944444444</v>
      </c>
    </row>
    <row r="34" spans="1:4" ht="3" customHeight="1" x14ac:dyDescent="0.25"/>
    <row r="35" spans="1:4" ht="62.45" customHeight="1" x14ac:dyDescent="0.25">
      <c r="A35" s="226" t="s">
        <v>92</v>
      </c>
      <c r="B35" s="226"/>
      <c r="C35" s="226"/>
      <c r="D35" s="226"/>
    </row>
    <row r="36" spans="1:4" ht="56.45" customHeight="1" x14ac:dyDescent="0.25">
      <c r="A36" s="226" t="s">
        <v>93</v>
      </c>
      <c r="B36" s="226"/>
      <c r="C36" s="226"/>
      <c r="D36" s="226"/>
    </row>
    <row r="37" spans="1:4" ht="65.45" customHeight="1" x14ac:dyDescent="0.25">
      <c r="A37" s="226" t="s">
        <v>94</v>
      </c>
      <c r="B37" s="226"/>
      <c r="C37" s="226"/>
      <c r="D37" s="226"/>
    </row>
    <row r="38" spans="1:4" ht="3.6" customHeight="1" x14ac:dyDescent="0.25"/>
    <row r="39" spans="1:4" ht="32.25" customHeight="1" x14ac:dyDescent="0.25">
      <c r="A39" s="231" t="s">
        <v>32</v>
      </c>
      <c r="B39" s="231"/>
      <c r="C39" s="231"/>
      <c r="D39" s="231"/>
    </row>
    <row r="40" spans="1:4" ht="16.5" thickBot="1" x14ac:dyDescent="0.3"/>
    <row r="41" spans="1:4" ht="16.5" thickBot="1" x14ac:dyDescent="0.3">
      <c r="A41" s="3" t="s">
        <v>33</v>
      </c>
      <c r="B41" s="65" t="s">
        <v>34</v>
      </c>
      <c r="C41" s="65" t="s">
        <v>35</v>
      </c>
      <c r="D41" s="65" t="s">
        <v>13</v>
      </c>
    </row>
    <row r="42" spans="1:4" ht="16.5" thickBot="1" x14ac:dyDescent="0.3">
      <c r="A42" s="4" t="s">
        <v>14</v>
      </c>
      <c r="B42" s="5" t="s">
        <v>36</v>
      </c>
      <c r="C42" s="6">
        <v>0.2</v>
      </c>
      <c r="D42" s="11">
        <f t="shared" ref="D42:D49" si="0">($D$23+$D$33)*C42</f>
        <v>563.31743888888889</v>
      </c>
    </row>
    <row r="43" spans="1:4" ht="16.5" thickBot="1" x14ac:dyDescent="0.3">
      <c r="A43" s="4" t="s">
        <v>16</v>
      </c>
      <c r="B43" s="5" t="s">
        <v>37</v>
      </c>
      <c r="C43" s="6">
        <v>2.5000000000000001E-2</v>
      </c>
      <c r="D43" s="11">
        <f t="shared" si="0"/>
        <v>70.414679861111111</v>
      </c>
    </row>
    <row r="44" spans="1:4" ht="16.5" thickBot="1" x14ac:dyDescent="0.3">
      <c r="A44" s="4" t="s">
        <v>18</v>
      </c>
      <c r="B44" s="5" t="s">
        <v>38</v>
      </c>
      <c r="C44" s="13">
        <v>0.03</v>
      </c>
      <c r="D44" s="11">
        <f t="shared" si="0"/>
        <v>84.497615833333327</v>
      </c>
    </row>
    <row r="45" spans="1:4" ht="16.5" thickBot="1" x14ac:dyDescent="0.3">
      <c r="A45" s="4" t="s">
        <v>20</v>
      </c>
      <c r="B45" s="5" t="s">
        <v>39</v>
      </c>
      <c r="C45" s="6">
        <v>1.4999999999999999E-2</v>
      </c>
      <c r="D45" s="11">
        <f t="shared" si="0"/>
        <v>42.248807916666664</v>
      </c>
    </row>
    <row r="46" spans="1:4" ht="16.5" thickBot="1" x14ac:dyDescent="0.3">
      <c r="A46" s="4" t="s">
        <v>21</v>
      </c>
      <c r="B46" s="5" t="s">
        <v>40</v>
      </c>
      <c r="C46" s="6">
        <v>0.01</v>
      </c>
      <c r="D46" s="11">
        <f t="shared" si="0"/>
        <v>28.165871944444444</v>
      </c>
    </row>
    <row r="47" spans="1:4" ht="16.5" thickBot="1" x14ac:dyDescent="0.3">
      <c r="A47" s="4" t="s">
        <v>23</v>
      </c>
      <c r="B47" s="5" t="s">
        <v>3</v>
      </c>
      <c r="C47" s="6">
        <v>6.0000000000000001E-3</v>
      </c>
      <c r="D47" s="11">
        <f t="shared" si="0"/>
        <v>16.899523166666665</v>
      </c>
    </row>
    <row r="48" spans="1:4" ht="16.5" thickBot="1" x14ac:dyDescent="0.3">
      <c r="A48" s="4" t="s">
        <v>24</v>
      </c>
      <c r="B48" s="5" t="s">
        <v>4</v>
      </c>
      <c r="C48" s="6">
        <v>2E-3</v>
      </c>
      <c r="D48" s="11">
        <f t="shared" si="0"/>
        <v>5.6331743888888886</v>
      </c>
    </row>
    <row r="49" spans="1:4" ht="16.5" thickBot="1" x14ac:dyDescent="0.3">
      <c r="A49" s="4" t="s">
        <v>41</v>
      </c>
      <c r="B49" s="5" t="s">
        <v>5</v>
      </c>
      <c r="C49" s="6">
        <v>0.08</v>
      </c>
      <c r="D49" s="11">
        <f t="shared" si="0"/>
        <v>225.32697555555555</v>
      </c>
    </row>
    <row r="50" spans="1:4" ht="16.5" thickBot="1" x14ac:dyDescent="0.3">
      <c r="A50" s="220" t="s">
        <v>42</v>
      </c>
      <c r="B50" s="221"/>
      <c r="C50" s="6">
        <f>SUM(C42:C49)</f>
        <v>0.36800000000000005</v>
      </c>
      <c r="D50" s="11">
        <f>SUM(D42:D49)</f>
        <v>1036.5040875555555</v>
      </c>
    </row>
    <row r="51" spans="1:4" ht="7.9" customHeight="1" x14ac:dyDescent="0.25"/>
    <row r="52" spans="1:4" ht="30.6" customHeight="1" x14ac:dyDescent="0.25">
      <c r="A52" s="226" t="s">
        <v>95</v>
      </c>
      <c r="B52" s="226"/>
      <c r="C52" s="226"/>
      <c r="D52" s="226"/>
    </row>
    <row r="53" spans="1:4" ht="37.15" customHeight="1" x14ac:dyDescent="0.25">
      <c r="A53" s="226" t="s">
        <v>96</v>
      </c>
      <c r="B53" s="226"/>
      <c r="C53" s="226"/>
      <c r="D53" s="226"/>
    </row>
    <row r="54" spans="1:4" ht="37.15" customHeight="1" x14ac:dyDescent="0.25">
      <c r="A54" s="226" t="s">
        <v>97</v>
      </c>
      <c r="B54" s="226"/>
      <c r="C54" s="226"/>
      <c r="D54" s="226"/>
    </row>
    <row r="55" spans="1:4" ht="6" customHeight="1" x14ac:dyDescent="0.25"/>
    <row r="56" spans="1:4" x14ac:dyDescent="0.25">
      <c r="A56" s="228" t="s">
        <v>43</v>
      </c>
      <c r="B56" s="228"/>
      <c r="C56" s="228"/>
      <c r="D56" s="228"/>
    </row>
    <row r="57" spans="1:4" ht="16.5" thickBot="1" x14ac:dyDescent="0.3"/>
    <row r="58" spans="1:4" ht="16.5" thickBot="1" x14ac:dyDescent="0.3">
      <c r="A58" s="66" t="s">
        <v>44</v>
      </c>
      <c r="B58" s="66" t="s">
        <v>45</v>
      </c>
      <c r="C58" s="65"/>
      <c r="D58" s="66" t="s">
        <v>13</v>
      </c>
    </row>
    <row r="59" spans="1:4" x14ac:dyDescent="0.25">
      <c r="A59" s="26" t="s">
        <v>14</v>
      </c>
      <c r="B59" s="27" t="s">
        <v>290</v>
      </c>
      <c r="C59" s="18"/>
      <c r="D59" s="22">
        <f>4.6*2*22-(6%*D23)</f>
        <v>60.91561999999999</v>
      </c>
    </row>
    <row r="60" spans="1:4" x14ac:dyDescent="0.25">
      <c r="A60" s="26" t="s">
        <v>16</v>
      </c>
      <c r="B60" s="27" t="s">
        <v>288</v>
      </c>
      <c r="C60" s="18"/>
      <c r="D60" s="22">
        <f>26.7*22-(0.1*26.7*22)</f>
        <v>528.66</v>
      </c>
    </row>
    <row r="61" spans="1:4" x14ac:dyDescent="0.25">
      <c r="A61" s="26" t="s">
        <v>18</v>
      </c>
      <c r="B61" s="27" t="s">
        <v>88</v>
      </c>
      <c r="C61" s="18"/>
      <c r="D61" s="22">
        <v>6</v>
      </c>
    </row>
    <row r="62" spans="1:4" x14ac:dyDescent="0.25">
      <c r="A62" s="26" t="s">
        <v>20</v>
      </c>
      <c r="B62" s="27" t="s">
        <v>158</v>
      </c>
      <c r="C62" s="18"/>
      <c r="D62" s="22">
        <v>19.899999999999999</v>
      </c>
    </row>
    <row r="63" spans="1:4" x14ac:dyDescent="0.25">
      <c r="A63" s="219" t="s">
        <v>1</v>
      </c>
      <c r="B63" s="219"/>
      <c r="C63" s="18"/>
      <c r="D63" s="22">
        <f>SUM(D59:D62)</f>
        <v>615.47561999999994</v>
      </c>
    </row>
    <row r="66" spans="1:9" x14ac:dyDescent="0.25">
      <c r="A66" s="228" t="s">
        <v>46</v>
      </c>
      <c r="B66" s="228"/>
      <c r="C66" s="228"/>
      <c r="D66" s="228"/>
    </row>
    <row r="67" spans="1:9" ht="16.5" thickBot="1" x14ac:dyDescent="0.3"/>
    <row r="68" spans="1:9" ht="16.5" thickBot="1" x14ac:dyDescent="0.3">
      <c r="A68" s="66">
        <v>2</v>
      </c>
      <c r="B68" s="66" t="s">
        <v>47</v>
      </c>
      <c r="C68" s="65" t="s">
        <v>35</v>
      </c>
      <c r="D68" s="66" t="s">
        <v>13</v>
      </c>
    </row>
    <row r="69" spans="1:9" x14ac:dyDescent="0.25">
      <c r="A69" s="26" t="s">
        <v>28</v>
      </c>
      <c r="B69" s="27" t="s">
        <v>29</v>
      </c>
      <c r="C69" s="18"/>
      <c r="D69" s="22">
        <f>D33</f>
        <v>458.5141944444444</v>
      </c>
    </row>
    <row r="70" spans="1:9" x14ac:dyDescent="0.25">
      <c r="A70" s="26" t="s">
        <v>33</v>
      </c>
      <c r="B70" s="27" t="s">
        <v>34</v>
      </c>
      <c r="C70" s="18"/>
      <c r="D70" s="22">
        <f>D50</f>
        <v>1036.5040875555555</v>
      </c>
    </row>
    <row r="71" spans="1:9" x14ac:dyDescent="0.25">
      <c r="A71" s="26" t="s">
        <v>44</v>
      </c>
      <c r="B71" s="27" t="s">
        <v>45</v>
      </c>
      <c r="C71" s="18"/>
      <c r="D71" s="22">
        <f>D63</f>
        <v>615.47561999999994</v>
      </c>
    </row>
    <row r="72" spans="1:9" x14ac:dyDescent="0.25">
      <c r="A72" s="219" t="s">
        <v>1</v>
      </c>
      <c r="B72" s="219"/>
      <c r="C72" s="18"/>
      <c r="D72" s="29">
        <f>SUM(D69:D71)</f>
        <v>2110.4939020000002</v>
      </c>
    </row>
    <row r="73" spans="1:9" x14ac:dyDescent="0.25">
      <c r="A73" s="1"/>
    </row>
    <row r="75" spans="1:9" x14ac:dyDescent="0.25">
      <c r="A75" s="229" t="s">
        <v>48</v>
      </c>
      <c r="B75" s="229"/>
      <c r="C75" s="229"/>
      <c r="D75" s="229"/>
    </row>
    <row r="76" spans="1:9" ht="16.5" thickBot="1" x14ac:dyDescent="0.3"/>
    <row r="77" spans="1:9" ht="16.5" thickBot="1" x14ac:dyDescent="0.3">
      <c r="A77" s="66">
        <v>3</v>
      </c>
      <c r="B77" s="66" t="s">
        <v>49</v>
      </c>
      <c r="C77" s="65" t="s">
        <v>35</v>
      </c>
      <c r="D77" s="66" t="s">
        <v>13</v>
      </c>
    </row>
    <row r="78" spans="1:9" x14ac:dyDescent="0.25">
      <c r="A78" s="26" t="s">
        <v>14</v>
      </c>
      <c r="B78" s="28" t="s">
        <v>50</v>
      </c>
      <c r="C78" s="24">
        <f>'Media de custo com mão de obra'!T5</f>
        <v>4.1999999999999997E-3</v>
      </c>
      <c r="D78" s="22">
        <f>C78*$D$23</f>
        <v>9.9039065999999991</v>
      </c>
    </row>
    <row r="79" spans="1:9" x14ac:dyDescent="0.25">
      <c r="A79" s="26" t="s">
        <v>16</v>
      </c>
      <c r="B79" s="28" t="s">
        <v>51</v>
      </c>
      <c r="C79" s="24">
        <f>C49*C78</f>
        <v>3.3599999999999998E-4</v>
      </c>
      <c r="D79" s="22">
        <f t="shared" ref="D79:D83" si="1">C79*$D$23</f>
        <v>0.79231252799999996</v>
      </c>
    </row>
    <row r="80" spans="1:9" x14ac:dyDescent="0.25">
      <c r="A80" s="26" t="s">
        <v>18</v>
      </c>
      <c r="B80" s="28" t="s">
        <v>123</v>
      </c>
      <c r="C80" s="24">
        <v>0.02</v>
      </c>
      <c r="D80" s="22">
        <f t="shared" si="1"/>
        <v>47.161459999999998</v>
      </c>
      <c r="F80" s="51"/>
      <c r="G80" s="51"/>
      <c r="H80" s="51"/>
      <c r="I80" s="51"/>
    </row>
    <row r="81" spans="1:4" x14ac:dyDescent="0.25">
      <c r="A81" s="26" t="s">
        <v>20</v>
      </c>
      <c r="B81" s="28" t="s">
        <v>53</v>
      </c>
      <c r="C81" s="24">
        <f>'Media de custo com mão de obra'!T6</f>
        <v>1.9400000000000001E-2</v>
      </c>
      <c r="D81" s="22">
        <f t="shared" si="1"/>
        <v>45.746616199999998</v>
      </c>
    </row>
    <row r="82" spans="1:4" x14ac:dyDescent="0.25">
      <c r="A82" s="26" t="s">
        <v>21</v>
      </c>
      <c r="B82" s="28" t="s">
        <v>54</v>
      </c>
      <c r="C82" s="24">
        <f>C50*C81</f>
        <v>7.1392000000000009E-3</v>
      </c>
      <c r="D82" s="22">
        <f t="shared" si="1"/>
        <v>16.834754761600003</v>
      </c>
    </row>
    <row r="83" spans="1:4" x14ac:dyDescent="0.25">
      <c r="A83" s="26" t="s">
        <v>23</v>
      </c>
      <c r="B83" s="28" t="s">
        <v>124</v>
      </c>
      <c r="C83" s="24">
        <v>0.02</v>
      </c>
      <c r="D83" s="22">
        <f t="shared" si="1"/>
        <v>47.161459999999998</v>
      </c>
    </row>
    <row r="84" spans="1:4" x14ac:dyDescent="0.25">
      <c r="A84" s="219" t="s">
        <v>1</v>
      </c>
      <c r="B84" s="219"/>
      <c r="C84" s="23">
        <f>SUM(C78:C83)</f>
        <v>7.1075200000000005E-2</v>
      </c>
      <c r="D84" s="22">
        <f>SUM(D78:D83)</f>
        <v>167.60051008960002</v>
      </c>
    </row>
    <row r="87" spans="1:4" x14ac:dyDescent="0.25">
      <c r="A87" s="229" t="s">
        <v>56</v>
      </c>
      <c r="B87" s="229"/>
      <c r="C87" s="229"/>
      <c r="D87" s="229"/>
    </row>
    <row r="90" spans="1:4" x14ac:dyDescent="0.25">
      <c r="A90" s="228" t="s">
        <v>57</v>
      </c>
      <c r="B90" s="228"/>
      <c r="C90" s="228"/>
      <c r="D90" s="228"/>
    </row>
    <row r="91" spans="1:4" ht="16.5" thickBot="1" x14ac:dyDescent="0.3">
      <c r="A91" s="2"/>
    </row>
    <row r="92" spans="1:4" ht="16.5" thickBot="1" x14ac:dyDescent="0.3">
      <c r="A92" s="66" t="s">
        <v>58</v>
      </c>
      <c r="B92" s="66" t="s">
        <v>59</v>
      </c>
      <c r="C92" s="65" t="s">
        <v>35</v>
      </c>
      <c r="D92" s="66" t="s">
        <v>13</v>
      </c>
    </row>
    <row r="93" spans="1:4" x14ac:dyDescent="0.25">
      <c r="A93" s="26" t="s">
        <v>14</v>
      </c>
      <c r="B93" s="27" t="s">
        <v>2</v>
      </c>
      <c r="C93" s="32">
        <f>D93/D23</f>
        <v>0.14387178318752453</v>
      </c>
      <c r="D93" s="22">
        <f>'Custo de Substitução nas Ferias'!H13</f>
        <v>339.26016739635548</v>
      </c>
    </row>
    <row r="94" spans="1:4" x14ac:dyDescent="0.25">
      <c r="A94" s="26" t="s">
        <v>16</v>
      </c>
      <c r="B94" s="27" t="s">
        <v>59</v>
      </c>
      <c r="C94" s="32">
        <f>'Media de custo com mão de obra'!T8</f>
        <v>6.0999999999999995E-3</v>
      </c>
      <c r="D94" s="22">
        <f>C94*$D$23</f>
        <v>14.384245299999998</v>
      </c>
    </row>
    <row r="95" spans="1:4" x14ac:dyDescent="0.25">
      <c r="A95" s="26" t="s">
        <v>18</v>
      </c>
      <c r="B95" s="27" t="s">
        <v>60</v>
      </c>
      <c r="C95" s="32">
        <f>'Media de custo com mão de obra'!T9</f>
        <v>2.5000000000000001E-4</v>
      </c>
      <c r="D95" s="22">
        <f t="shared" ref="D95:D98" si="2">C95*$D$23</f>
        <v>0.58951825000000002</v>
      </c>
    </row>
    <row r="96" spans="1:4" x14ac:dyDescent="0.25">
      <c r="A96" s="26" t="s">
        <v>20</v>
      </c>
      <c r="B96" s="27" t="s">
        <v>61</v>
      </c>
      <c r="C96" s="32">
        <f>'Media de custo com mão de obra'!T10</f>
        <v>2.0499999999999997E-3</v>
      </c>
      <c r="D96" s="22">
        <f t="shared" si="2"/>
        <v>4.834049649999999</v>
      </c>
    </row>
    <row r="97" spans="1:4" x14ac:dyDescent="0.25">
      <c r="A97" s="26" t="s">
        <v>21</v>
      </c>
      <c r="B97" s="27" t="s">
        <v>62</v>
      </c>
      <c r="C97" s="32">
        <f>'Media de custo com mão de obra'!T11</f>
        <v>5.9999999999999995E-4</v>
      </c>
      <c r="D97" s="22">
        <f t="shared" si="2"/>
        <v>1.4148437999999999</v>
      </c>
    </row>
    <row r="98" spans="1:4" x14ac:dyDescent="0.25">
      <c r="A98" s="26" t="s">
        <v>23</v>
      </c>
      <c r="B98" s="27" t="s">
        <v>25</v>
      </c>
      <c r="C98" s="32">
        <f>'Media de custo com mão de obra'!T12</f>
        <v>0</v>
      </c>
      <c r="D98" s="22">
        <f t="shared" si="2"/>
        <v>0</v>
      </c>
    </row>
    <row r="99" spans="1:4" x14ac:dyDescent="0.25">
      <c r="A99" s="219" t="s">
        <v>42</v>
      </c>
      <c r="B99" s="219"/>
      <c r="C99" s="33">
        <f>SUM(C93:C98)</f>
        <v>0.15287178318752451</v>
      </c>
      <c r="D99" s="29">
        <f>SUM(D93:D98)</f>
        <v>360.48282439635545</v>
      </c>
    </row>
    <row r="102" spans="1:4" x14ac:dyDescent="0.25">
      <c r="A102" s="228" t="s">
        <v>63</v>
      </c>
      <c r="B102" s="228"/>
      <c r="C102" s="228"/>
      <c r="D102" s="228"/>
    </row>
    <row r="103" spans="1:4" x14ac:dyDescent="0.25">
      <c r="A103" s="2"/>
    </row>
    <row r="104" spans="1:4" x14ac:dyDescent="0.25">
      <c r="A104" s="66" t="s">
        <v>64</v>
      </c>
      <c r="B104" s="66" t="s">
        <v>65</v>
      </c>
      <c r="C104" s="18"/>
      <c r="D104" s="66" t="s">
        <v>13</v>
      </c>
    </row>
    <row r="105" spans="1:4" x14ac:dyDescent="0.25">
      <c r="A105" s="26" t="s">
        <v>14</v>
      </c>
      <c r="B105" s="27" t="s">
        <v>82</v>
      </c>
      <c r="C105" s="18"/>
      <c r="D105" s="22">
        <v>0</v>
      </c>
    </row>
    <row r="106" spans="1:4" x14ac:dyDescent="0.25">
      <c r="A106" s="219" t="s">
        <v>1</v>
      </c>
      <c r="B106" s="219"/>
      <c r="C106" s="18"/>
      <c r="D106" s="22">
        <f>D105</f>
        <v>0</v>
      </c>
    </row>
    <row r="109" spans="1:4" x14ac:dyDescent="0.25">
      <c r="A109" s="228" t="s">
        <v>66</v>
      </c>
      <c r="B109" s="228"/>
      <c r="C109" s="228"/>
      <c r="D109" s="228"/>
    </row>
    <row r="110" spans="1:4" x14ac:dyDescent="0.25">
      <c r="A110" s="2"/>
    </row>
    <row r="111" spans="1:4" x14ac:dyDescent="0.25">
      <c r="A111" s="66">
        <v>4</v>
      </c>
      <c r="B111" s="66" t="s">
        <v>67</v>
      </c>
      <c r="C111" s="18"/>
      <c r="D111" s="66" t="s">
        <v>13</v>
      </c>
    </row>
    <row r="112" spans="1:4" x14ac:dyDescent="0.25">
      <c r="A112" s="26" t="s">
        <v>58</v>
      </c>
      <c r="B112" s="27" t="s">
        <v>59</v>
      </c>
      <c r="C112" s="18"/>
      <c r="D112" s="22">
        <f>D99</f>
        <v>360.48282439635545</v>
      </c>
    </row>
    <row r="113" spans="1:4" x14ac:dyDescent="0.25">
      <c r="A113" s="26" t="s">
        <v>64</v>
      </c>
      <c r="B113" s="27" t="s">
        <v>65</v>
      </c>
      <c r="C113" s="18"/>
      <c r="D113" s="22">
        <f>D106</f>
        <v>0</v>
      </c>
    </row>
    <row r="114" spans="1:4" x14ac:dyDescent="0.25">
      <c r="A114" s="219" t="s">
        <v>1</v>
      </c>
      <c r="B114" s="219"/>
      <c r="C114" s="18"/>
      <c r="D114" s="22">
        <f>SUM(D112:D113)</f>
        <v>360.48282439635545</v>
      </c>
    </row>
    <row r="117" spans="1:4" x14ac:dyDescent="0.25">
      <c r="A117" s="229" t="s">
        <v>68</v>
      </c>
      <c r="B117" s="229"/>
      <c r="C117" s="229"/>
      <c r="D117" s="229"/>
    </row>
    <row r="119" spans="1:4" x14ac:dyDescent="0.25">
      <c r="A119" s="66">
        <v>5</v>
      </c>
      <c r="B119" s="30" t="s">
        <v>6</v>
      </c>
      <c r="C119" s="18"/>
      <c r="D119" s="66" t="s">
        <v>13</v>
      </c>
    </row>
    <row r="120" spans="1:4" x14ac:dyDescent="0.25">
      <c r="A120" s="26" t="s">
        <v>14</v>
      </c>
      <c r="B120" s="27" t="s">
        <v>69</v>
      </c>
      <c r="C120" s="18"/>
      <c r="D120" s="120">
        <f>Uniformes!P45</f>
        <v>24.530216666666664</v>
      </c>
    </row>
    <row r="121" spans="1:4" x14ac:dyDescent="0.25">
      <c r="A121" s="26" t="s">
        <v>16</v>
      </c>
      <c r="B121" s="27" t="s">
        <v>70</v>
      </c>
      <c r="C121" s="18"/>
      <c r="D121" s="22">
        <v>0</v>
      </c>
    </row>
    <row r="122" spans="1:4" x14ac:dyDescent="0.25">
      <c r="A122" s="26" t="s">
        <v>18</v>
      </c>
      <c r="B122" s="27" t="s">
        <v>89</v>
      </c>
      <c r="C122" s="18"/>
      <c r="D122" s="48"/>
    </row>
    <row r="123" spans="1:4" ht="31.5" x14ac:dyDescent="0.25">
      <c r="A123" s="26" t="s">
        <v>20</v>
      </c>
      <c r="B123" s="27" t="s">
        <v>338</v>
      </c>
      <c r="C123" s="18"/>
      <c r="D123" s="22">
        <f>155/103</f>
        <v>1.5048543689320388</v>
      </c>
    </row>
    <row r="124" spans="1:4" x14ac:dyDescent="0.25">
      <c r="A124" s="219" t="s">
        <v>42</v>
      </c>
      <c r="B124" s="219"/>
      <c r="C124" s="18"/>
      <c r="D124" s="48">
        <f>SUM(D120:D123)</f>
        <v>26.035071035598705</v>
      </c>
    </row>
    <row r="127" spans="1:4" x14ac:dyDescent="0.25">
      <c r="A127" s="229" t="s">
        <v>71</v>
      </c>
      <c r="B127" s="229"/>
      <c r="C127" s="229"/>
      <c r="D127" s="229"/>
    </row>
    <row r="128" spans="1:4" ht="16.5" thickBot="1" x14ac:dyDescent="0.3"/>
    <row r="129" spans="1:6" ht="16.5" thickBot="1" x14ac:dyDescent="0.3">
      <c r="A129" s="3">
        <v>6</v>
      </c>
      <c r="B129" s="7" t="s">
        <v>7</v>
      </c>
      <c r="C129" s="65" t="s">
        <v>35</v>
      </c>
      <c r="D129" s="65" t="s">
        <v>13</v>
      </c>
    </row>
    <row r="130" spans="1:6" ht="16.5" thickBot="1" x14ac:dyDescent="0.3">
      <c r="A130" s="4" t="s">
        <v>14</v>
      </c>
      <c r="B130" s="5" t="s">
        <v>8</v>
      </c>
      <c r="C130" s="14">
        <f>'Media de custo com mão de obra'!T14</f>
        <v>1.66E-2</v>
      </c>
      <c r="D130" s="11">
        <f>(D23+D72+D84+D114+D124)*C130</f>
        <v>83.376576104857818</v>
      </c>
    </row>
    <row r="131" spans="1:6" ht="16.5" thickBot="1" x14ac:dyDescent="0.3">
      <c r="A131" s="4" t="s">
        <v>131</v>
      </c>
      <c r="B131" s="5" t="s">
        <v>345</v>
      </c>
      <c r="C131" s="14"/>
      <c r="D131" s="11">
        <v>75</v>
      </c>
    </row>
    <row r="132" spans="1:6" ht="16.5" thickBot="1" x14ac:dyDescent="0.3">
      <c r="A132" s="4" t="s">
        <v>16</v>
      </c>
      <c r="B132" s="5" t="s">
        <v>10</v>
      </c>
      <c r="C132" s="14">
        <f>'Media de custo com mão de obra'!T15</f>
        <v>2.4500000000000001E-2</v>
      </c>
      <c r="D132" s="11">
        <f>(D23+D72+D84+D114+D124+D130+D131)*C132</f>
        <v>126.93601614884712</v>
      </c>
    </row>
    <row r="133" spans="1:6" ht="16.5" thickBot="1" x14ac:dyDescent="0.3">
      <c r="A133" s="4" t="s">
        <v>18</v>
      </c>
      <c r="B133" s="5" t="s">
        <v>9</v>
      </c>
      <c r="C133" s="14">
        <f>SUM(C134,C136)</f>
        <v>0.14250000000000002</v>
      </c>
      <c r="D133" s="11">
        <f>((D23+D72+D84+D114+D124+D130+D131+D132)/(1-(C133)))*C133</f>
        <v>882.08711453991225</v>
      </c>
    </row>
    <row r="134" spans="1:6" ht="16.5" thickBot="1" x14ac:dyDescent="0.3">
      <c r="A134" s="4"/>
      <c r="B134" s="5" t="s">
        <v>90</v>
      </c>
      <c r="C134" s="14">
        <f>1.65%+7.6%</f>
        <v>9.2499999999999999E-2</v>
      </c>
      <c r="D134" s="11">
        <f>((D23+D72+D84+D114+D124+D130+D131+D132)/(1-(C133)))*C134</f>
        <v>572.58286382415349</v>
      </c>
    </row>
    <row r="135" spans="1:6" ht="16.5" thickBot="1" x14ac:dyDescent="0.3">
      <c r="A135" s="4"/>
      <c r="B135" s="5" t="s">
        <v>72</v>
      </c>
      <c r="C135" s="14">
        <v>0</v>
      </c>
      <c r="D135" s="11"/>
    </row>
    <row r="136" spans="1:6" ht="16.5" thickBot="1" x14ac:dyDescent="0.3">
      <c r="A136" s="4"/>
      <c r="B136" s="5" t="s">
        <v>73</v>
      </c>
      <c r="C136" s="14">
        <v>0.05</v>
      </c>
      <c r="D136" s="11">
        <f>((D23+D72+D84+D114+D124+D130+D131+D132)/(1-(C133)))*C136</f>
        <v>309.50425071575864</v>
      </c>
      <c r="F136" s="54">
        <f>D134+D136</f>
        <v>882.08711453991214</v>
      </c>
    </row>
    <row r="137" spans="1:6" ht="16.5" thickBot="1" x14ac:dyDescent="0.3">
      <c r="A137" s="220" t="s">
        <v>42</v>
      </c>
      <c r="B137" s="221"/>
      <c r="C137" s="14">
        <f>SUM(C130:C133)</f>
        <v>0.18360000000000001</v>
      </c>
      <c r="D137" s="11">
        <f>SUM(D130:D133)</f>
        <v>1167.399706793617</v>
      </c>
    </row>
    <row r="140" spans="1:6" x14ac:dyDescent="0.25">
      <c r="A140" s="229" t="s">
        <v>74</v>
      </c>
      <c r="B140" s="229"/>
      <c r="C140" s="229"/>
      <c r="D140" s="229"/>
    </row>
    <row r="141" spans="1:6" ht="16.5" thickBot="1" x14ac:dyDescent="0.3"/>
    <row r="142" spans="1:6" ht="16.5" thickBot="1" x14ac:dyDescent="0.3">
      <c r="A142" s="3"/>
      <c r="B142" s="65" t="s">
        <v>75</v>
      </c>
      <c r="C142" s="65"/>
      <c r="D142" s="65" t="s">
        <v>13</v>
      </c>
    </row>
    <row r="143" spans="1:6" ht="16.5" thickBot="1" x14ac:dyDescent="0.3">
      <c r="A143" s="9" t="s">
        <v>14</v>
      </c>
      <c r="B143" s="5" t="s">
        <v>11</v>
      </c>
      <c r="C143" s="14"/>
      <c r="D143" s="12">
        <f>D23</f>
        <v>2358.0729999999999</v>
      </c>
    </row>
    <row r="144" spans="1:6" ht="16.5" thickBot="1" x14ac:dyDescent="0.3">
      <c r="A144" s="9" t="s">
        <v>16</v>
      </c>
      <c r="B144" s="5" t="s">
        <v>26</v>
      </c>
      <c r="C144" s="14"/>
      <c r="D144" s="12">
        <f>D72</f>
        <v>2110.4939020000002</v>
      </c>
    </row>
    <row r="145" spans="1:7" ht="16.5" thickBot="1" x14ac:dyDescent="0.3">
      <c r="A145" s="9" t="s">
        <v>18</v>
      </c>
      <c r="B145" s="5" t="s">
        <v>48</v>
      </c>
      <c r="C145" s="14"/>
      <c r="D145" s="12">
        <f>D84</f>
        <v>167.60051008960002</v>
      </c>
    </row>
    <row r="146" spans="1:7" ht="16.5" thickBot="1" x14ac:dyDescent="0.3">
      <c r="A146" s="9" t="s">
        <v>20</v>
      </c>
      <c r="B146" s="5" t="s">
        <v>56</v>
      </c>
      <c r="C146" s="14"/>
      <c r="D146" s="12">
        <f>D114</f>
        <v>360.48282439635545</v>
      </c>
    </row>
    <row r="147" spans="1:7" ht="16.5" thickBot="1" x14ac:dyDescent="0.3">
      <c r="A147" s="9" t="s">
        <v>21</v>
      </c>
      <c r="B147" s="5" t="s">
        <v>68</v>
      </c>
      <c r="C147" s="14"/>
      <c r="D147" s="12">
        <f>D124</f>
        <v>26.035071035598705</v>
      </c>
    </row>
    <row r="148" spans="1:7" ht="16.5" thickBot="1" x14ac:dyDescent="0.3">
      <c r="A148" s="220" t="s">
        <v>76</v>
      </c>
      <c r="B148" s="221"/>
      <c r="C148" s="14"/>
      <c r="D148" s="12">
        <f>SUM(D143:D147)</f>
        <v>5022.6853075215549</v>
      </c>
    </row>
    <row r="149" spans="1:7" ht="16.5" thickBot="1" x14ac:dyDescent="0.3">
      <c r="A149" s="9" t="s">
        <v>23</v>
      </c>
      <c r="B149" s="5" t="s">
        <v>77</v>
      </c>
      <c r="C149" s="14"/>
      <c r="D149" s="12">
        <f>D137</f>
        <v>1167.399706793617</v>
      </c>
    </row>
    <row r="150" spans="1:7" ht="16.5" thickBot="1" x14ac:dyDescent="0.3">
      <c r="A150" s="220" t="s">
        <v>78</v>
      </c>
      <c r="B150" s="221"/>
      <c r="D150" s="12">
        <f>SUM(D148:D149)</f>
        <v>6190.085014315172</v>
      </c>
      <c r="F150" s="201">
        <v>6105.32</v>
      </c>
      <c r="G150" s="54">
        <f>D150-F150</f>
        <v>84.765014315172266</v>
      </c>
    </row>
  </sheetData>
  <mergeCells count="43">
    <mergeCell ref="A23:B23"/>
    <mergeCell ref="A1:D1"/>
    <mergeCell ref="A2:D2"/>
    <mergeCell ref="A3:D3"/>
    <mergeCell ref="A4:D4"/>
    <mergeCell ref="C5:D5"/>
    <mergeCell ref="C6:D6"/>
    <mergeCell ref="C7:D7"/>
    <mergeCell ref="C8:D8"/>
    <mergeCell ref="C9:D9"/>
    <mergeCell ref="C10:D10"/>
    <mergeCell ref="A13:D13"/>
    <mergeCell ref="A56:D56"/>
    <mergeCell ref="A26:D26"/>
    <mergeCell ref="A28:D28"/>
    <mergeCell ref="A33:B33"/>
    <mergeCell ref="A35:D35"/>
    <mergeCell ref="A36:D36"/>
    <mergeCell ref="A37:D37"/>
    <mergeCell ref="A39:D39"/>
    <mergeCell ref="A50:B50"/>
    <mergeCell ref="A52:D52"/>
    <mergeCell ref="A53:D53"/>
    <mergeCell ref="A54:D54"/>
    <mergeCell ref="A114:B114"/>
    <mergeCell ref="A63:B63"/>
    <mergeCell ref="A66:D66"/>
    <mergeCell ref="A72:B72"/>
    <mergeCell ref="A75:D75"/>
    <mergeCell ref="A84:B84"/>
    <mergeCell ref="A87:D87"/>
    <mergeCell ref="A90:D90"/>
    <mergeCell ref="A99:B99"/>
    <mergeCell ref="A102:D102"/>
    <mergeCell ref="A106:B106"/>
    <mergeCell ref="A109:D109"/>
    <mergeCell ref="A150:B150"/>
    <mergeCell ref="A117:D117"/>
    <mergeCell ref="A124:B124"/>
    <mergeCell ref="A127:D127"/>
    <mergeCell ref="A137:B137"/>
    <mergeCell ref="A140:D140"/>
    <mergeCell ref="A148:B148"/>
  </mergeCells>
  <pageMargins left="0.511811024" right="0.511811024" top="0.78740157499999996" bottom="0.78740157499999996" header="0.31496062000000002" footer="0.31496062000000002"/>
  <pageSetup paperSize="9" scale="70" fitToHeight="0" orientation="portrait" r:id="rId1"/>
  <rowBreaks count="3" manualBreakCount="3">
    <brk id="55" max="4" man="1"/>
    <brk id="73" max="16383" man="1"/>
    <brk id="13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G152"/>
  <sheetViews>
    <sheetView showGridLines="0" view="pageBreakPreview" topLeftCell="A121" zoomScaleNormal="115" zoomScaleSheetLayoutView="100" workbookViewId="0">
      <selection activeCell="A133" sqref="A133:D133"/>
    </sheetView>
  </sheetViews>
  <sheetFormatPr defaultColWidth="9.140625" defaultRowHeight="15.75" x14ac:dyDescent="0.25"/>
  <cols>
    <col min="1" max="1" width="9.140625" style="8"/>
    <col min="2" max="2" width="72.140625" style="8" customWidth="1"/>
    <col min="3" max="3" width="20" style="8" customWidth="1"/>
    <col min="4" max="4" width="15.7109375" style="8" customWidth="1"/>
    <col min="5" max="5" width="12.7109375" style="8" hidden="1" customWidth="1"/>
    <col min="6" max="6" width="38.42578125" style="8" customWidth="1"/>
    <col min="7" max="7" width="15.140625" style="8" customWidth="1"/>
    <col min="8" max="16384" width="9.140625" style="8"/>
  </cols>
  <sheetData>
    <row r="1" spans="1:4" ht="23.25" x14ac:dyDescent="0.35">
      <c r="A1" s="232" t="s">
        <v>79</v>
      </c>
      <c r="B1" s="232"/>
      <c r="C1" s="232"/>
      <c r="D1" s="232"/>
    </row>
    <row r="2" spans="1:4" ht="23.25" x14ac:dyDescent="0.35">
      <c r="A2" s="232" t="s">
        <v>80</v>
      </c>
      <c r="B2" s="232"/>
      <c r="C2" s="232"/>
      <c r="D2" s="232"/>
    </row>
    <row r="3" spans="1:4" x14ac:dyDescent="0.25">
      <c r="A3" s="233" t="s">
        <v>81</v>
      </c>
      <c r="B3" s="233"/>
      <c r="C3" s="233"/>
      <c r="D3" s="233"/>
    </row>
    <row r="4" spans="1:4" x14ac:dyDescent="0.25">
      <c r="A4" s="235" t="s">
        <v>135</v>
      </c>
      <c r="B4" s="235"/>
      <c r="C4" s="235"/>
      <c r="D4" s="235"/>
    </row>
    <row r="5" spans="1:4" ht="15.6" customHeight="1" x14ac:dyDescent="0.25">
      <c r="A5" s="26" t="s">
        <v>14</v>
      </c>
      <c r="B5" s="62" t="s">
        <v>137</v>
      </c>
      <c r="C5" s="224" t="s">
        <v>85</v>
      </c>
      <c r="D5" s="225"/>
    </row>
    <row r="6" spans="1:4" x14ac:dyDescent="0.25">
      <c r="A6" s="26" t="s">
        <v>16</v>
      </c>
      <c r="B6" s="62" t="s">
        <v>141</v>
      </c>
      <c r="C6" s="224" t="s">
        <v>126</v>
      </c>
      <c r="D6" s="225"/>
    </row>
    <row r="7" spans="1:4" x14ac:dyDescent="0.25">
      <c r="A7" s="26" t="s">
        <v>18</v>
      </c>
      <c r="B7" s="62" t="s">
        <v>140</v>
      </c>
      <c r="C7" s="222">
        <v>1983.35</v>
      </c>
      <c r="D7" s="223"/>
    </row>
    <row r="8" spans="1:4" x14ac:dyDescent="0.25">
      <c r="A8" s="26" t="s">
        <v>20</v>
      </c>
      <c r="B8" s="62" t="s">
        <v>138</v>
      </c>
      <c r="C8" s="224" t="s">
        <v>340</v>
      </c>
      <c r="D8" s="225"/>
    </row>
    <row r="9" spans="1:4" x14ac:dyDescent="0.25">
      <c r="A9" s="26" t="s">
        <v>21</v>
      </c>
      <c r="B9" s="62" t="s">
        <v>139</v>
      </c>
      <c r="C9" s="230">
        <v>45658</v>
      </c>
      <c r="D9" s="225"/>
    </row>
    <row r="10" spans="1:4" x14ac:dyDescent="0.25">
      <c r="A10" s="26" t="s">
        <v>23</v>
      </c>
      <c r="B10" s="62" t="s">
        <v>136</v>
      </c>
      <c r="C10" s="224">
        <v>12</v>
      </c>
      <c r="D10" s="225"/>
    </row>
    <row r="11" spans="1:4" x14ac:dyDescent="0.25">
      <c r="A11" s="63"/>
      <c r="B11" s="63"/>
      <c r="C11" s="63"/>
      <c r="D11" s="63"/>
    </row>
    <row r="12" spans="1:4" x14ac:dyDescent="0.25">
      <c r="A12" s="63"/>
      <c r="B12" s="63"/>
      <c r="C12" s="63"/>
      <c r="D12" s="63"/>
    </row>
    <row r="13" spans="1:4" x14ac:dyDescent="0.25">
      <c r="A13" s="63"/>
      <c r="B13" s="63"/>
      <c r="C13" s="63"/>
      <c r="D13" s="63"/>
    </row>
    <row r="14" spans="1:4" ht="16.149999999999999" customHeight="1" x14ac:dyDescent="0.25"/>
    <row r="15" spans="1:4" x14ac:dyDescent="0.25">
      <c r="A15" s="234" t="s">
        <v>11</v>
      </c>
      <c r="B15" s="234"/>
      <c r="C15" s="234"/>
      <c r="D15" s="234"/>
    </row>
    <row r="17" spans="1:4" x14ac:dyDescent="0.25">
      <c r="A17" s="35">
        <v>1</v>
      </c>
      <c r="B17" s="35" t="s">
        <v>12</v>
      </c>
      <c r="C17" s="18"/>
      <c r="D17" s="35" t="s">
        <v>13</v>
      </c>
    </row>
    <row r="18" spans="1:4" ht="16.5" thickBot="1" x14ac:dyDescent="0.3">
      <c r="A18" s="26" t="s">
        <v>14</v>
      </c>
      <c r="B18" s="27" t="s">
        <v>15</v>
      </c>
      <c r="C18" s="18"/>
      <c r="D18" s="76">
        <f>C7</f>
        <v>1983.35</v>
      </c>
    </row>
    <row r="19" spans="1:4" x14ac:dyDescent="0.25">
      <c r="A19" s="26" t="s">
        <v>16</v>
      </c>
      <c r="B19" s="27" t="s">
        <v>17</v>
      </c>
      <c r="C19" s="18"/>
      <c r="D19" s="22"/>
    </row>
    <row r="20" spans="1:4" x14ac:dyDescent="0.25">
      <c r="A20" s="26" t="s">
        <v>18</v>
      </c>
      <c r="B20" s="27" t="s">
        <v>19</v>
      </c>
      <c r="C20" s="18"/>
      <c r="D20" s="22"/>
    </row>
    <row r="21" spans="1:4" x14ac:dyDescent="0.25">
      <c r="A21" s="26" t="s">
        <v>20</v>
      </c>
      <c r="B21" s="27" t="s">
        <v>0</v>
      </c>
      <c r="C21" s="18"/>
      <c r="D21" s="22"/>
    </row>
    <row r="22" spans="1:4" x14ac:dyDescent="0.25">
      <c r="A22" s="26" t="s">
        <v>21</v>
      </c>
      <c r="B22" s="27" t="s">
        <v>22</v>
      </c>
      <c r="C22" s="18"/>
      <c r="D22" s="22"/>
    </row>
    <row r="23" spans="1:4" x14ac:dyDescent="0.25">
      <c r="A23" s="26"/>
      <c r="B23" s="27"/>
      <c r="C23" s="18"/>
      <c r="D23" s="22"/>
    </row>
    <row r="24" spans="1:4" x14ac:dyDescent="0.25">
      <c r="A24" s="26" t="s">
        <v>24</v>
      </c>
      <c r="B24" s="27" t="s">
        <v>25</v>
      </c>
      <c r="C24" s="18"/>
      <c r="D24" s="22"/>
    </row>
    <row r="25" spans="1:4" x14ac:dyDescent="0.25">
      <c r="A25" s="219" t="s">
        <v>1</v>
      </c>
      <c r="B25" s="219"/>
      <c r="C25" s="18"/>
      <c r="D25" s="22">
        <f>SUM(D18:D24)</f>
        <v>1983.35</v>
      </c>
    </row>
    <row r="27" spans="1:4" ht="5.45" customHeight="1" x14ac:dyDescent="0.25"/>
    <row r="28" spans="1:4" x14ac:dyDescent="0.25">
      <c r="A28" s="229" t="s">
        <v>26</v>
      </c>
      <c r="B28" s="229"/>
      <c r="C28" s="229"/>
      <c r="D28" s="229"/>
    </row>
    <row r="29" spans="1:4" x14ac:dyDescent="0.25">
      <c r="A29" s="2"/>
    </row>
    <row r="30" spans="1:4" x14ac:dyDescent="0.25">
      <c r="A30" s="228" t="s">
        <v>27</v>
      </c>
      <c r="B30" s="228"/>
      <c r="C30" s="228"/>
      <c r="D30" s="228"/>
    </row>
    <row r="31" spans="1:4" ht="16.5" thickBot="1" x14ac:dyDescent="0.3"/>
    <row r="32" spans="1:4" ht="16.5" thickBot="1" x14ac:dyDescent="0.3">
      <c r="A32" s="3" t="s">
        <v>28</v>
      </c>
      <c r="B32" s="36" t="s">
        <v>29</v>
      </c>
      <c r="C32" s="20" t="s">
        <v>91</v>
      </c>
      <c r="D32" s="21" t="s">
        <v>13</v>
      </c>
    </row>
    <row r="33" spans="1:4" ht="16.5" thickBot="1" x14ac:dyDescent="0.3">
      <c r="A33" s="4" t="s">
        <v>14</v>
      </c>
      <c r="B33" s="19" t="s">
        <v>30</v>
      </c>
      <c r="C33" s="23">
        <f>1/12</f>
        <v>8.3333333333333329E-2</v>
      </c>
      <c r="D33" s="22">
        <f>C33*D25</f>
        <v>165.27916666666664</v>
      </c>
    </row>
    <row r="34" spans="1:4" ht="16.5" thickBot="1" x14ac:dyDescent="0.3">
      <c r="A34" s="4" t="s">
        <v>16</v>
      </c>
      <c r="B34" s="19" t="s">
        <v>31</v>
      </c>
      <c r="C34" s="24">
        <f>1/12+1/12*1/3</f>
        <v>0.1111111111111111</v>
      </c>
      <c r="D34" s="22">
        <f>D25*C34</f>
        <v>220.37222222222221</v>
      </c>
    </row>
    <row r="35" spans="1:4" ht="16.5" thickBot="1" x14ac:dyDescent="0.3">
      <c r="A35" s="220" t="s">
        <v>1</v>
      </c>
      <c r="B35" s="227"/>
      <c r="C35" s="23">
        <f>SUM(C33:C34)</f>
        <v>0.19444444444444442</v>
      </c>
      <c r="D35" s="22">
        <f>SUM(D33:D34)</f>
        <v>385.65138888888885</v>
      </c>
    </row>
    <row r="36" spans="1:4" ht="3" customHeight="1" x14ac:dyDescent="0.25"/>
    <row r="37" spans="1:4" ht="62.45" customHeight="1" x14ac:dyDescent="0.25">
      <c r="A37" s="226" t="s">
        <v>92</v>
      </c>
      <c r="B37" s="226"/>
      <c r="C37" s="226"/>
      <c r="D37" s="226"/>
    </row>
    <row r="38" spans="1:4" ht="56.45" customHeight="1" x14ac:dyDescent="0.25">
      <c r="A38" s="226" t="s">
        <v>93</v>
      </c>
      <c r="B38" s="226"/>
      <c r="C38" s="226"/>
      <c r="D38" s="226"/>
    </row>
    <row r="39" spans="1:4" ht="65.45" customHeight="1" x14ac:dyDescent="0.25">
      <c r="A39" s="226" t="s">
        <v>94</v>
      </c>
      <c r="B39" s="226"/>
      <c r="C39" s="226"/>
      <c r="D39" s="226"/>
    </row>
    <row r="40" spans="1:4" ht="3.6" customHeight="1" x14ac:dyDescent="0.25"/>
    <row r="41" spans="1:4" ht="32.25" customHeight="1" x14ac:dyDescent="0.25">
      <c r="A41" s="231" t="s">
        <v>32</v>
      </c>
      <c r="B41" s="231"/>
      <c r="C41" s="231"/>
      <c r="D41" s="231"/>
    </row>
    <row r="42" spans="1:4" ht="16.5" thickBot="1" x14ac:dyDescent="0.3"/>
    <row r="43" spans="1:4" ht="16.5" thickBot="1" x14ac:dyDescent="0.3">
      <c r="A43" s="3" t="s">
        <v>33</v>
      </c>
      <c r="B43" s="34" t="s">
        <v>34</v>
      </c>
      <c r="C43" s="34" t="s">
        <v>35</v>
      </c>
      <c r="D43" s="34" t="s">
        <v>13</v>
      </c>
    </row>
    <row r="44" spans="1:4" ht="16.5" thickBot="1" x14ac:dyDescent="0.3">
      <c r="A44" s="4" t="s">
        <v>14</v>
      </c>
      <c r="B44" s="5" t="s">
        <v>36</v>
      </c>
      <c r="C44" s="6">
        <v>0.2</v>
      </c>
      <c r="D44" s="11">
        <f t="shared" ref="D44:D51" si="0">($D$25+$D$35)*C44</f>
        <v>473.80027777777781</v>
      </c>
    </row>
    <row r="45" spans="1:4" ht="16.5" thickBot="1" x14ac:dyDescent="0.3">
      <c r="A45" s="4" t="s">
        <v>16</v>
      </c>
      <c r="B45" s="5" t="s">
        <v>37</v>
      </c>
      <c r="C45" s="6">
        <v>2.5000000000000001E-2</v>
      </c>
      <c r="D45" s="11">
        <f t="shared" si="0"/>
        <v>59.225034722222226</v>
      </c>
    </row>
    <row r="46" spans="1:4" ht="16.5" thickBot="1" x14ac:dyDescent="0.3">
      <c r="A46" s="4" t="s">
        <v>18</v>
      </c>
      <c r="B46" s="5" t="s">
        <v>38</v>
      </c>
      <c r="C46" s="13">
        <v>0.03</v>
      </c>
      <c r="D46" s="11">
        <f t="shared" si="0"/>
        <v>71.070041666666668</v>
      </c>
    </row>
    <row r="47" spans="1:4" ht="16.5" thickBot="1" x14ac:dyDescent="0.3">
      <c r="A47" s="4" t="s">
        <v>20</v>
      </c>
      <c r="B47" s="5" t="s">
        <v>39</v>
      </c>
      <c r="C47" s="6">
        <v>1.4999999999999999E-2</v>
      </c>
      <c r="D47" s="11">
        <f t="shared" si="0"/>
        <v>35.535020833333334</v>
      </c>
    </row>
    <row r="48" spans="1:4" ht="16.5" thickBot="1" x14ac:dyDescent="0.3">
      <c r="A48" s="4" t="s">
        <v>21</v>
      </c>
      <c r="B48" s="5" t="s">
        <v>40</v>
      </c>
      <c r="C48" s="6">
        <v>0.01</v>
      </c>
      <c r="D48" s="11">
        <f t="shared" si="0"/>
        <v>23.690013888888888</v>
      </c>
    </row>
    <row r="49" spans="1:4" ht="16.5" thickBot="1" x14ac:dyDescent="0.3">
      <c r="A49" s="4" t="s">
        <v>23</v>
      </c>
      <c r="B49" s="5" t="s">
        <v>3</v>
      </c>
      <c r="C49" s="6">
        <v>6.0000000000000001E-3</v>
      </c>
      <c r="D49" s="11">
        <f t="shared" si="0"/>
        <v>14.214008333333334</v>
      </c>
    </row>
    <row r="50" spans="1:4" ht="16.5" thickBot="1" x14ac:dyDescent="0.3">
      <c r="A50" s="4" t="s">
        <v>24</v>
      </c>
      <c r="B50" s="5" t="s">
        <v>4</v>
      </c>
      <c r="C50" s="6">
        <v>2E-3</v>
      </c>
      <c r="D50" s="11">
        <f t="shared" si="0"/>
        <v>4.738002777777778</v>
      </c>
    </row>
    <row r="51" spans="1:4" ht="16.5" thickBot="1" x14ac:dyDescent="0.3">
      <c r="A51" s="4" t="s">
        <v>41</v>
      </c>
      <c r="B51" s="5" t="s">
        <v>5</v>
      </c>
      <c r="C51" s="6">
        <v>0.08</v>
      </c>
      <c r="D51" s="11">
        <f t="shared" si="0"/>
        <v>189.52011111111111</v>
      </c>
    </row>
    <row r="52" spans="1:4" ht="16.5" thickBot="1" x14ac:dyDescent="0.3">
      <c r="A52" s="220" t="s">
        <v>42</v>
      </c>
      <c r="B52" s="221"/>
      <c r="C52" s="6">
        <f>SUM(C44:C51)</f>
        <v>0.36800000000000005</v>
      </c>
      <c r="D52" s="11">
        <f>SUM(D44:D51)</f>
        <v>871.79251111111114</v>
      </c>
    </row>
    <row r="53" spans="1:4" ht="7.9" customHeight="1" x14ac:dyDescent="0.25"/>
    <row r="54" spans="1:4" ht="30.6" customHeight="1" x14ac:dyDescent="0.25">
      <c r="A54" s="226" t="s">
        <v>95</v>
      </c>
      <c r="B54" s="226"/>
      <c r="C54" s="226"/>
      <c r="D54" s="226"/>
    </row>
    <row r="55" spans="1:4" ht="37.15" customHeight="1" x14ac:dyDescent="0.25">
      <c r="A55" s="226" t="s">
        <v>96</v>
      </c>
      <c r="B55" s="226"/>
      <c r="C55" s="226"/>
      <c r="D55" s="226"/>
    </row>
    <row r="56" spans="1:4" ht="37.15" customHeight="1" x14ac:dyDescent="0.25">
      <c r="A56" s="226" t="s">
        <v>97</v>
      </c>
      <c r="B56" s="226"/>
      <c r="C56" s="226"/>
      <c r="D56" s="226"/>
    </row>
    <row r="57" spans="1:4" ht="6" customHeight="1" x14ac:dyDescent="0.25"/>
    <row r="58" spans="1:4" x14ac:dyDescent="0.25">
      <c r="A58" s="228" t="s">
        <v>43</v>
      </c>
      <c r="B58" s="228"/>
      <c r="C58" s="228"/>
      <c r="D58" s="228"/>
    </row>
    <row r="59" spans="1:4" ht="16.5" thickBot="1" x14ac:dyDescent="0.3"/>
    <row r="60" spans="1:4" ht="16.5" thickBot="1" x14ac:dyDescent="0.3">
      <c r="A60" s="35" t="s">
        <v>44</v>
      </c>
      <c r="B60" s="35" t="s">
        <v>45</v>
      </c>
      <c r="C60" s="34"/>
      <c r="D60" s="35" t="s">
        <v>13</v>
      </c>
    </row>
    <row r="61" spans="1:4" x14ac:dyDescent="0.25">
      <c r="A61" s="26" t="s">
        <v>14</v>
      </c>
      <c r="B61" s="27" t="s">
        <v>291</v>
      </c>
      <c r="C61" s="18"/>
      <c r="D61" s="22">
        <f>(4.6*22*2)-(D18*6%)</f>
        <v>83.398999999999987</v>
      </c>
    </row>
    <row r="62" spans="1:4" x14ac:dyDescent="0.25">
      <c r="A62" s="26" t="s">
        <v>16</v>
      </c>
      <c r="B62" s="27" t="s">
        <v>288</v>
      </c>
      <c r="C62" s="18"/>
      <c r="D62" s="22">
        <f>26.7*22-(0.1*26.7*22)</f>
        <v>528.66</v>
      </c>
    </row>
    <row r="63" spans="1:4" x14ac:dyDescent="0.25">
      <c r="A63" s="26" t="s">
        <v>18</v>
      </c>
      <c r="B63" s="27" t="s">
        <v>88</v>
      </c>
      <c r="C63" s="18"/>
      <c r="D63" s="22">
        <v>6</v>
      </c>
    </row>
    <row r="64" spans="1:4" x14ac:dyDescent="0.25">
      <c r="A64" s="26" t="s">
        <v>20</v>
      </c>
      <c r="B64" s="27" t="s">
        <v>158</v>
      </c>
      <c r="C64" s="18"/>
      <c r="D64" s="22">
        <v>19.899999999999999</v>
      </c>
    </row>
    <row r="65" spans="1:4" x14ac:dyDescent="0.25">
      <c r="A65" s="219" t="s">
        <v>1</v>
      </c>
      <c r="B65" s="219"/>
      <c r="C65" s="18"/>
      <c r="D65" s="22">
        <f>SUM(D61:D64)</f>
        <v>637.95899999999995</v>
      </c>
    </row>
    <row r="68" spans="1:4" x14ac:dyDescent="0.25">
      <c r="A68" s="228" t="s">
        <v>46</v>
      </c>
      <c r="B68" s="228"/>
      <c r="C68" s="228"/>
      <c r="D68" s="228"/>
    </row>
    <row r="69" spans="1:4" ht="16.5" thickBot="1" x14ac:dyDescent="0.3"/>
    <row r="70" spans="1:4" ht="16.5" thickBot="1" x14ac:dyDescent="0.3">
      <c r="A70" s="35">
        <v>2</v>
      </c>
      <c r="B70" s="35" t="s">
        <v>47</v>
      </c>
      <c r="C70" s="34" t="s">
        <v>35</v>
      </c>
      <c r="D70" s="35" t="s">
        <v>13</v>
      </c>
    </row>
    <row r="71" spans="1:4" x14ac:dyDescent="0.25">
      <c r="A71" s="26" t="s">
        <v>28</v>
      </c>
      <c r="B71" s="27" t="s">
        <v>29</v>
      </c>
      <c r="C71" s="18"/>
      <c r="D71" s="22">
        <f>D35</f>
        <v>385.65138888888885</v>
      </c>
    </row>
    <row r="72" spans="1:4" x14ac:dyDescent="0.25">
      <c r="A72" s="26" t="s">
        <v>33</v>
      </c>
      <c r="B72" s="27" t="s">
        <v>34</v>
      </c>
      <c r="C72" s="18"/>
      <c r="D72" s="22">
        <f>D52</f>
        <v>871.79251111111114</v>
      </c>
    </row>
    <row r="73" spans="1:4" x14ac:dyDescent="0.25">
      <c r="A73" s="26" t="s">
        <v>44</v>
      </c>
      <c r="B73" s="27" t="s">
        <v>45</v>
      </c>
      <c r="C73" s="18"/>
      <c r="D73" s="22">
        <f>D65</f>
        <v>637.95899999999995</v>
      </c>
    </row>
    <row r="74" spans="1:4" x14ac:dyDescent="0.25">
      <c r="A74" s="219" t="s">
        <v>1</v>
      </c>
      <c r="B74" s="219"/>
      <c r="C74" s="18"/>
      <c r="D74" s="29">
        <f>SUM(D71:D73)</f>
        <v>1895.4029</v>
      </c>
    </row>
    <row r="75" spans="1:4" x14ac:dyDescent="0.25">
      <c r="A75" s="1"/>
    </row>
    <row r="77" spans="1:4" x14ac:dyDescent="0.25">
      <c r="A77" s="229" t="s">
        <v>48</v>
      </c>
      <c r="B77" s="229"/>
      <c r="C77" s="229"/>
      <c r="D77" s="229"/>
    </row>
    <row r="78" spans="1:4" ht="16.5" thickBot="1" x14ac:dyDescent="0.3"/>
    <row r="79" spans="1:4" ht="16.5" thickBot="1" x14ac:dyDescent="0.3">
      <c r="A79" s="35">
        <v>3</v>
      </c>
      <c r="B79" s="35" t="s">
        <v>49</v>
      </c>
      <c r="C79" s="34" t="s">
        <v>35</v>
      </c>
      <c r="D79" s="35" t="s">
        <v>13</v>
      </c>
    </row>
    <row r="80" spans="1:4" x14ac:dyDescent="0.25">
      <c r="A80" s="26" t="s">
        <v>14</v>
      </c>
      <c r="B80" s="28" t="s">
        <v>50</v>
      </c>
      <c r="C80" s="24">
        <f>'Media de custo com mão de obra'!T5</f>
        <v>4.1999999999999997E-3</v>
      </c>
      <c r="D80" s="22">
        <f>C80*$D$25</f>
        <v>8.3300699999999992</v>
      </c>
    </row>
    <row r="81" spans="1:4" x14ac:dyDescent="0.25">
      <c r="A81" s="26" t="s">
        <v>16</v>
      </c>
      <c r="B81" s="28" t="s">
        <v>51</v>
      </c>
      <c r="C81" s="24">
        <f>C80*C51</f>
        <v>3.3599999999999998E-4</v>
      </c>
      <c r="D81" s="22">
        <f t="shared" ref="D81:D85" si="1">C81*$D$25</f>
        <v>0.66640559999999993</v>
      </c>
    </row>
    <row r="82" spans="1:4" x14ac:dyDescent="0.25">
      <c r="A82" s="26" t="s">
        <v>18</v>
      </c>
      <c r="B82" s="28" t="s">
        <v>52</v>
      </c>
      <c r="C82" s="24">
        <v>0.02</v>
      </c>
      <c r="D82" s="22">
        <f t="shared" si="1"/>
        <v>39.667000000000002</v>
      </c>
    </row>
    <row r="83" spans="1:4" x14ac:dyDescent="0.25">
      <c r="A83" s="26" t="s">
        <v>20</v>
      </c>
      <c r="B83" s="28" t="s">
        <v>53</v>
      </c>
      <c r="C83" s="24">
        <f>'Media de custo com mão de obra'!T6</f>
        <v>1.9400000000000001E-2</v>
      </c>
      <c r="D83" s="22">
        <f t="shared" si="1"/>
        <v>38.476990000000001</v>
      </c>
    </row>
    <row r="84" spans="1:4" x14ac:dyDescent="0.25">
      <c r="A84" s="26" t="s">
        <v>21</v>
      </c>
      <c r="B84" s="28" t="s">
        <v>54</v>
      </c>
      <c r="C84" s="24">
        <f>C83*C52</f>
        <v>7.1392000000000009E-3</v>
      </c>
      <c r="D84" s="22">
        <f t="shared" si="1"/>
        <v>14.159532320000002</v>
      </c>
    </row>
    <row r="85" spans="1:4" x14ac:dyDescent="0.25">
      <c r="A85" s="26" t="s">
        <v>23</v>
      </c>
      <c r="B85" s="28" t="s">
        <v>55</v>
      </c>
      <c r="C85" s="24">
        <v>0.02</v>
      </c>
      <c r="D85" s="22">
        <f t="shared" si="1"/>
        <v>39.667000000000002</v>
      </c>
    </row>
    <row r="86" spans="1:4" x14ac:dyDescent="0.25">
      <c r="A86" s="219" t="s">
        <v>1</v>
      </c>
      <c r="B86" s="219"/>
      <c r="C86" s="23">
        <f>SUM(C80:C85)</f>
        <v>7.1075200000000005E-2</v>
      </c>
      <c r="D86" s="22">
        <f>SUM(D80:D85)</f>
        <v>140.96699791999998</v>
      </c>
    </row>
    <row r="89" spans="1:4" x14ac:dyDescent="0.25">
      <c r="A89" s="229" t="s">
        <v>56</v>
      </c>
      <c r="B89" s="229"/>
      <c r="C89" s="229"/>
      <c r="D89" s="229"/>
    </row>
    <row r="92" spans="1:4" x14ac:dyDescent="0.25">
      <c r="A92" s="228" t="s">
        <v>57</v>
      </c>
      <c r="B92" s="228"/>
      <c r="C92" s="228"/>
      <c r="D92" s="228"/>
    </row>
    <row r="93" spans="1:4" ht="16.5" thickBot="1" x14ac:dyDescent="0.3">
      <c r="A93" s="2"/>
    </row>
    <row r="94" spans="1:4" ht="16.5" thickBot="1" x14ac:dyDescent="0.3">
      <c r="A94" s="35" t="s">
        <v>58</v>
      </c>
      <c r="B94" s="35" t="s">
        <v>59</v>
      </c>
      <c r="C94" s="34" t="s">
        <v>35</v>
      </c>
      <c r="D94" s="35" t="s">
        <v>13</v>
      </c>
    </row>
    <row r="95" spans="1:4" x14ac:dyDescent="0.25">
      <c r="A95" s="26" t="s">
        <v>14</v>
      </c>
      <c r="B95" s="27" t="s">
        <v>2</v>
      </c>
      <c r="C95" s="32">
        <f>D95/D25</f>
        <v>0.14457841339932717</v>
      </c>
      <c r="D95" s="22">
        <f>'Custo de Substitução nas Ferias'!I13</f>
        <v>286.74959621555553</v>
      </c>
    </row>
    <row r="96" spans="1:4" x14ac:dyDescent="0.25">
      <c r="A96" s="26" t="s">
        <v>16</v>
      </c>
      <c r="B96" s="27" t="s">
        <v>59</v>
      </c>
      <c r="C96" s="32">
        <f>'Media de custo com mão de obra'!T8</f>
        <v>6.0999999999999995E-3</v>
      </c>
      <c r="D96" s="22">
        <f>C96*$D$25</f>
        <v>12.098434999999998</v>
      </c>
    </row>
    <row r="97" spans="1:4" x14ac:dyDescent="0.25">
      <c r="A97" s="26" t="s">
        <v>18</v>
      </c>
      <c r="B97" s="27" t="s">
        <v>60</v>
      </c>
      <c r="C97" s="32">
        <f>'Media de custo com mão de obra'!T9</f>
        <v>2.5000000000000001E-4</v>
      </c>
      <c r="D97" s="22">
        <f t="shared" ref="D97:D100" si="2">C97*$D$25</f>
        <v>0.49583749999999999</v>
      </c>
    </row>
    <row r="98" spans="1:4" x14ac:dyDescent="0.25">
      <c r="A98" s="26" t="s">
        <v>20</v>
      </c>
      <c r="B98" s="27" t="s">
        <v>61</v>
      </c>
      <c r="C98" s="32">
        <f>'Media de custo com mão de obra'!T10</f>
        <v>2.0499999999999997E-3</v>
      </c>
      <c r="D98" s="22">
        <f t="shared" si="2"/>
        <v>4.0658674999999995</v>
      </c>
    </row>
    <row r="99" spans="1:4" x14ac:dyDescent="0.25">
      <c r="A99" s="26" t="s">
        <v>21</v>
      </c>
      <c r="B99" s="27" t="s">
        <v>62</v>
      </c>
      <c r="C99" s="32">
        <f>'Media de custo com mão de obra'!T11</f>
        <v>5.9999999999999995E-4</v>
      </c>
      <c r="D99" s="22">
        <f t="shared" si="2"/>
        <v>1.1900099999999998</v>
      </c>
    </row>
    <row r="100" spans="1:4" x14ac:dyDescent="0.25">
      <c r="A100" s="26" t="s">
        <v>23</v>
      </c>
      <c r="B100" s="27" t="s">
        <v>25</v>
      </c>
      <c r="C100" s="32">
        <f>'Media de custo com mão de obra'!T12</f>
        <v>0</v>
      </c>
      <c r="D100" s="22">
        <f t="shared" si="2"/>
        <v>0</v>
      </c>
    </row>
    <row r="101" spans="1:4" x14ac:dyDescent="0.25">
      <c r="A101" s="219" t="s">
        <v>42</v>
      </c>
      <c r="B101" s="219"/>
      <c r="C101" s="33">
        <f>SUM(C95:C100)</f>
        <v>0.15357841339932715</v>
      </c>
      <c r="D101" s="29">
        <f>SUM(D95:D100)</f>
        <v>304.59974621555551</v>
      </c>
    </row>
    <row r="104" spans="1:4" x14ac:dyDescent="0.25">
      <c r="A104" s="228" t="s">
        <v>63</v>
      </c>
      <c r="B104" s="228"/>
      <c r="C104" s="228"/>
      <c r="D104" s="228"/>
    </row>
    <row r="105" spans="1:4" x14ac:dyDescent="0.25">
      <c r="A105" s="2"/>
    </row>
    <row r="106" spans="1:4" x14ac:dyDescent="0.25">
      <c r="A106" s="35" t="s">
        <v>64</v>
      </c>
      <c r="B106" s="35" t="s">
        <v>65</v>
      </c>
      <c r="C106" s="18"/>
      <c r="D106" s="35" t="s">
        <v>13</v>
      </c>
    </row>
    <row r="107" spans="1:4" x14ac:dyDescent="0.25">
      <c r="A107" s="26" t="s">
        <v>14</v>
      </c>
      <c r="B107" s="27" t="s">
        <v>82</v>
      </c>
      <c r="C107" s="18"/>
      <c r="D107" s="22">
        <v>0</v>
      </c>
    </row>
    <row r="108" spans="1:4" x14ac:dyDescent="0.25">
      <c r="A108" s="219" t="s">
        <v>1</v>
      </c>
      <c r="B108" s="219"/>
      <c r="C108" s="18"/>
      <c r="D108" s="22">
        <f>D107</f>
        <v>0</v>
      </c>
    </row>
    <row r="111" spans="1:4" x14ac:dyDescent="0.25">
      <c r="A111" s="228" t="s">
        <v>66</v>
      </c>
      <c r="B111" s="228"/>
      <c r="C111" s="228"/>
      <c r="D111" s="228"/>
    </row>
    <row r="112" spans="1:4" x14ac:dyDescent="0.25">
      <c r="A112" s="2"/>
    </row>
    <row r="113" spans="1:4" x14ac:dyDescent="0.25">
      <c r="A113" s="35">
        <v>4</v>
      </c>
      <c r="B113" s="35" t="s">
        <v>67</v>
      </c>
      <c r="C113" s="18"/>
      <c r="D113" s="35" t="s">
        <v>13</v>
      </c>
    </row>
    <row r="114" spans="1:4" x14ac:dyDescent="0.25">
      <c r="A114" s="26" t="s">
        <v>58</v>
      </c>
      <c r="B114" s="27" t="s">
        <v>59</v>
      </c>
      <c r="C114" s="18"/>
      <c r="D114" s="22">
        <f>D101</f>
        <v>304.59974621555551</v>
      </c>
    </row>
    <row r="115" spans="1:4" x14ac:dyDescent="0.25">
      <c r="A115" s="26" t="s">
        <v>64</v>
      </c>
      <c r="B115" s="27" t="s">
        <v>65</v>
      </c>
      <c r="C115" s="18"/>
      <c r="D115" s="22">
        <f>D108</f>
        <v>0</v>
      </c>
    </row>
    <row r="116" spans="1:4" x14ac:dyDescent="0.25">
      <c r="A116" s="219" t="s">
        <v>1</v>
      </c>
      <c r="B116" s="219"/>
      <c r="C116" s="18"/>
      <c r="D116" s="22">
        <f>SUM(D114:D115)</f>
        <v>304.59974621555551</v>
      </c>
    </row>
    <row r="119" spans="1:4" x14ac:dyDescent="0.25">
      <c r="A119" s="229" t="s">
        <v>68</v>
      </c>
      <c r="B119" s="229"/>
      <c r="C119" s="229"/>
      <c r="D119" s="229"/>
    </row>
    <row r="121" spans="1:4" x14ac:dyDescent="0.25">
      <c r="A121" s="35">
        <v>5</v>
      </c>
      <c r="B121" s="30" t="s">
        <v>6</v>
      </c>
      <c r="C121" s="18"/>
      <c r="D121" s="35" t="s">
        <v>13</v>
      </c>
    </row>
    <row r="122" spans="1:4" x14ac:dyDescent="0.25">
      <c r="A122" s="26" t="s">
        <v>14</v>
      </c>
      <c r="B122" s="27" t="s">
        <v>69</v>
      </c>
      <c r="C122" s="18"/>
      <c r="D122" s="120">
        <f>Uniformes!P24</f>
        <v>33.334256666666661</v>
      </c>
    </row>
    <row r="123" spans="1:4" x14ac:dyDescent="0.25">
      <c r="A123" s="26" t="s">
        <v>16</v>
      </c>
      <c r="B123" s="27" t="s">
        <v>70</v>
      </c>
      <c r="C123" s="18"/>
      <c r="D123" s="22">
        <v>0</v>
      </c>
    </row>
    <row r="124" spans="1:4" x14ac:dyDescent="0.25">
      <c r="A124" s="26" t="s">
        <v>18</v>
      </c>
      <c r="B124" s="27" t="s">
        <v>89</v>
      </c>
      <c r="C124" s="18"/>
      <c r="D124" s="48"/>
    </row>
    <row r="125" spans="1:4" ht="31.5" x14ac:dyDescent="0.25">
      <c r="A125" s="26" t="s">
        <v>20</v>
      </c>
      <c r="B125" s="27" t="s">
        <v>338</v>
      </c>
      <c r="C125" s="18"/>
      <c r="D125" s="22">
        <f>155/103</f>
        <v>1.5048543689320388</v>
      </c>
    </row>
    <row r="126" spans="1:4" x14ac:dyDescent="0.25">
      <c r="A126" s="219" t="s">
        <v>42</v>
      </c>
      <c r="B126" s="219"/>
      <c r="C126" s="18"/>
      <c r="D126" s="48">
        <f>SUM(D122:D125)</f>
        <v>34.839111035598698</v>
      </c>
    </row>
    <row r="129" spans="1:6" x14ac:dyDescent="0.25">
      <c r="A129" s="229" t="s">
        <v>71</v>
      </c>
      <c r="B129" s="229"/>
      <c r="C129" s="229"/>
      <c r="D129" s="229"/>
    </row>
    <row r="130" spans="1:6" ht="16.5" thickBot="1" x14ac:dyDescent="0.3"/>
    <row r="131" spans="1:6" ht="16.5" thickBot="1" x14ac:dyDescent="0.3">
      <c r="A131" s="3">
        <v>6</v>
      </c>
      <c r="B131" s="7" t="s">
        <v>7</v>
      </c>
      <c r="C131" s="34" t="s">
        <v>35</v>
      </c>
      <c r="D131" s="34" t="s">
        <v>13</v>
      </c>
    </row>
    <row r="132" spans="1:6" ht="16.5" thickBot="1" x14ac:dyDescent="0.3">
      <c r="A132" s="4" t="s">
        <v>14</v>
      </c>
      <c r="B132" s="5" t="s">
        <v>8</v>
      </c>
      <c r="C132" s="14">
        <f>'Media de custo com mão de obra'!T14</f>
        <v>1.66E-2</v>
      </c>
      <c r="D132" s="11">
        <f>(D25+D74+D86+D116+D126)*C132</f>
        <v>72.362035335841156</v>
      </c>
    </row>
    <row r="133" spans="1:6" ht="16.5" thickBot="1" x14ac:dyDescent="0.3">
      <c r="A133" s="4" t="s">
        <v>131</v>
      </c>
      <c r="B133" s="5" t="s">
        <v>345</v>
      </c>
      <c r="C133" s="14"/>
      <c r="D133" s="11">
        <v>75</v>
      </c>
    </row>
    <row r="134" spans="1:6" ht="16.5" thickBot="1" x14ac:dyDescent="0.3">
      <c r="A134" s="4" t="s">
        <v>16</v>
      </c>
      <c r="B134" s="5" t="s">
        <v>10</v>
      </c>
      <c r="C134" s="14">
        <f>'Media de custo com mão de obra'!T15</f>
        <v>2.4500000000000001E-2</v>
      </c>
      <c r="D134" s="11">
        <f>(D25+D74+D86+D116+D126+D132+D133)*C134</f>
        <v>110.40975936742137</v>
      </c>
    </row>
    <row r="135" spans="1:6" ht="16.5" thickBot="1" x14ac:dyDescent="0.3">
      <c r="A135" s="4" t="s">
        <v>18</v>
      </c>
      <c r="B135" s="5" t="s">
        <v>9</v>
      </c>
      <c r="C135" s="14">
        <f>SUM(C136,C138)</f>
        <v>0.14250000000000002</v>
      </c>
      <c r="D135" s="11">
        <f>((D25+D74+D86+D116+D126+D132+D133+D134)/(1-(C135)))*C135</f>
        <v>767.24501849224998</v>
      </c>
    </row>
    <row r="136" spans="1:6" ht="16.5" thickBot="1" x14ac:dyDescent="0.3">
      <c r="A136" s="4"/>
      <c r="B136" s="5" t="s">
        <v>90</v>
      </c>
      <c r="C136" s="14">
        <f>1.65%+7.6%</f>
        <v>9.2499999999999999E-2</v>
      </c>
      <c r="D136" s="11">
        <f>((D25+D74+D86+D116+D126+D132+D133+D134)/(1-(C135)))*C136</f>
        <v>498.03624007391659</v>
      </c>
    </row>
    <row r="137" spans="1:6" ht="16.5" thickBot="1" x14ac:dyDescent="0.3">
      <c r="A137" s="4"/>
      <c r="B137" s="5" t="s">
        <v>72</v>
      </c>
      <c r="C137" s="14">
        <v>0</v>
      </c>
      <c r="D137" s="11"/>
    </row>
    <row r="138" spans="1:6" ht="16.5" thickBot="1" x14ac:dyDescent="0.3">
      <c r="A138" s="4"/>
      <c r="B138" s="5" t="s">
        <v>73</v>
      </c>
      <c r="C138" s="14">
        <v>0.05</v>
      </c>
      <c r="D138" s="11">
        <f>((D25+D74+D86+D116+D126+D132+D133+D134)/(1-(C135)))*C138</f>
        <v>269.20877841833334</v>
      </c>
      <c r="F138" s="54">
        <f>D138+D136</f>
        <v>767.24501849224998</v>
      </c>
    </row>
    <row r="139" spans="1:6" ht="16.5" thickBot="1" x14ac:dyDescent="0.3">
      <c r="A139" s="220" t="s">
        <v>42</v>
      </c>
      <c r="B139" s="221"/>
      <c r="C139" s="14">
        <f>SUM(C132:C135)</f>
        <v>0.18360000000000001</v>
      </c>
      <c r="D139" s="11">
        <f>SUM(D132:D135)</f>
        <v>1025.0168131955124</v>
      </c>
    </row>
    <row r="142" spans="1:6" x14ac:dyDescent="0.25">
      <c r="A142" s="229" t="s">
        <v>74</v>
      </c>
      <c r="B142" s="229"/>
      <c r="C142" s="229"/>
      <c r="D142" s="229"/>
    </row>
    <row r="143" spans="1:6" ht="16.5" thickBot="1" x14ac:dyDescent="0.3"/>
    <row r="144" spans="1:6" ht="16.5" thickBot="1" x14ac:dyDescent="0.3">
      <c r="A144" s="3"/>
      <c r="B144" s="34" t="s">
        <v>75</v>
      </c>
      <c r="C144" s="34"/>
      <c r="D144" s="34" t="s">
        <v>13</v>
      </c>
    </row>
    <row r="145" spans="1:7" ht="16.5" thickBot="1" x14ac:dyDescent="0.3">
      <c r="A145" s="9" t="s">
        <v>14</v>
      </c>
      <c r="B145" s="5" t="s">
        <v>11</v>
      </c>
      <c r="C145" s="14"/>
      <c r="D145" s="12">
        <f>D25</f>
        <v>1983.35</v>
      </c>
    </row>
    <row r="146" spans="1:7" ht="16.5" thickBot="1" x14ac:dyDescent="0.3">
      <c r="A146" s="9" t="s">
        <v>16</v>
      </c>
      <c r="B146" s="5" t="s">
        <v>26</v>
      </c>
      <c r="C146" s="14"/>
      <c r="D146" s="12">
        <f>D74</f>
        <v>1895.4029</v>
      </c>
    </row>
    <row r="147" spans="1:7" ht="16.5" thickBot="1" x14ac:dyDescent="0.3">
      <c r="A147" s="9" t="s">
        <v>18</v>
      </c>
      <c r="B147" s="5" t="s">
        <v>48</v>
      </c>
      <c r="C147" s="14"/>
      <c r="D147" s="12">
        <f>D86</f>
        <v>140.96699791999998</v>
      </c>
    </row>
    <row r="148" spans="1:7" ht="16.5" thickBot="1" x14ac:dyDescent="0.3">
      <c r="A148" s="9" t="s">
        <v>20</v>
      </c>
      <c r="B148" s="5" t="s">
        <v>56</v>
      </c>
      <c r="C148" s="14"/>
      <c r="D148" s="12">
        <f>D116</f>
        <v>304.59974621555551</v>
      </c>
    </row>
    <row r="149" spans="1:7" ht="16.5" thickBot="1" x14ac:dyDescent="0.3">
      <c r="A149" s="9" t="s">
        <v>21</v>
      </c>
      <c r="B149" s="5" t="s">
        <v>68</v>
      </c>
      <c r="C149" s="14"/>
      <c r="D149" s="12">
        <f>D126</f>
        <v>34.839111035598698</v>
      </c>
    </row>
    <row r="150" spans="1:7" ht="16.5" thickBot="1" x14ac:dyDescent="0.3">
      <c r="A150" s="220" t="s">
        <v>76</v>
      </c>
      <c r="B150" s="221"/>
      <c r="C150" s="14"/>
      <c r="D150" s="12">
        <f>SUM(D145:D149)</f>
        <v>4359.1587551711536</v>
      </c>
    </row>
    <row r="151" spans="1:7" ht="16.5" thickBot="1" x14ac:dyDescent="0.3">
      <c r="A151" s="9" t="s">
        <v>23</v>
      </c>
      <c r="B151" s="5" t="s">
        <v>77</v>
      </c>
      <c r="C151" s="14"/>
      <c r="D151" s="12">
        <f>D139</f>
        <v>1025.0168131955124</v>
      </c>
    </row>
    <row r="152" spans="1:7" ht="16.5" thickBot="1" x14ac:dyDescent="0.3">
      <c r="A152" s="220" t="s">
        <v>78</v>
      </c>
      <c r="B152" s="221"/>
      <c r="D152" s="12">
        <f>SUM(D150:D151)</f>
        <v>5384.1755683666661</v>
      </c>
      <c r="F152" s="201">
        <v>5294.57</v>
      </c>
      <c r="G152" s="54">
        <f>D152-F152</f>
        <v>89.605568366666375</v>
      </c>
    </row>
  </sheetData>
  <mergeCells count="43">
    <mergeCell ref="A89:D89"/>
    <mergeCell ref="A41:D41"/>
    <mergeCell ref="A1:D1"/>
    <mergeCell ref="A2:D2"/>
    <mergeCell ref="A3:D3"/>
    <mergeCell ref="A15:D15"/>
    <mergeCell ref="A25:B25"/>
    <mergeCell ref="A28:D28"/>
    <mergeCell ref="A30:D30"/>
    <mergeCell ref="A35:B35"/>
    <mergeCell ref="A37:D37"/>
    <mergeCell ref="A38:D38"/>
    <mergeCell ref="A39:D39"/>
    <mergeCell ref="A4:D4"/>
    <mergeCell ref="C5:D5"/>
    <mergeCell ref="C6:D6"/>
    <mergeCell ref="C7:D7"/>
    <mergeCell ref="A86:B86"/>
    <mergeCell ref="A52:B52"/>
    <mergeCell ref="A54:D54"/>
    <mergeCell ref="A55:D55"/>
    <mergeCell ref="A56:D56"/>
    <mergeCell ref="A58:D58"/>
    <mergeCell ref="A65:B65"/>
    <mergeCell ref="A68:D68"/>
    <mergeCell ref="A74:B74"/>
    <mergeCell ref="A77:D77"/>
    <mergeCell ref="C8:D8"/>
    <mergeCell ref="C9:D9"/>
    <mergeCell ref="C10:D10"/>
    <mergeCell ref="A92:D92"/>
    <mergeCell ref="A152:B152"/>
    <mergeCell ref="A101:B101"/>
    <mergeCell ref="A104:D104"/>
    <mergeCell ref="A108:B108"/>
    <mergeCell ref="A111:D111"/>
    <mergeCell ref="A116:B116"/>
    <mergeCell ref="A119:D119"/>
    <mergeCell ref="A126:B126"/>
    <mergeCell ref="A129:D129"/>
    <mergeCell ref="A139:B139"/>
    <mergeCell ref="A142:D142"/>
    <mergeCell ref="A150:B150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  <rowBreaks count="3" manualBreakCount="3">
    <brk id="57" max="4" man="1"/>
    <brk id="75" max="16383" man="1"/>
    <brk id="14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AD5134-EE3D-4500-BE9B-D7CA37BB4E16}">
  <sheetPr>
    <pageSetUpPr fitToPage="1"/>
  </sheetPr>
  <dimension ref="A1:G152"/>
  <sheetViews>
    <sheetView showGridLines="0" view="pageBreakPreview" topLeftCell="A112" zoomScaleNormal="115" zoomScaleSheetLayoutView="100" workbookViewId="0">
      <selection activeCell="F131" sqref="F131"/>
    </sheetView>
  </sheetViews>
  <sheetFormatPr defaultColWidth="9.140625" defaultRowHeight="15.75" x14ac:dyDescent="0.25"/>
  <cols>
    <col min="1" max="1" width="9.140625" style="8"/>
    <col min="2" max="2" width="72.140625" style="8" customWidth="1"/>
    <col min="3" max="3" width="20" style="8" customWidth="1"/>
    <col min="4" max="4" width="15.7109375" style="8" customWidth="1"/>
    <col min="5" max="5" width="12.7109375" style="8" hidden="1" customWidth="1"/>
    <col min="6" max="6" width="38.42578125" style="8" customWidth="1"/>
    <col min="7" max="7" width="15.140625" style="8" customWidth="1"/>
    <col min="8" max="16384" width="9.140625" style="8"/>
  </cols>
  <sheetData>
    <row r="1" spans="1:4" ht="23.25" x14ac:dyDescent="0.35">
      <c r="A1" s="232" t="s">
        <v>79</v>
      </c>
      <c r="B1" s="232"/>
      <c r="C1" s="232"/>
      <c r="D1" s="232"/>
    </row>
    <row r="2" spans="1:4" ht="23.25" x14ac:dyDescent="0.35">
      <c r="A2" s="232" t="s">
        <v>80</v>
      </c>
      <c r="B2" s="232"/>
      <c r="C2" s="232"/>
      <c r="D2" s="232"/>
    </row>
    <row r="3" spans="1:4" x14ac:dyDescent="0.25">
      <c r="A3" s="233" t="s">
        <v>81</v>
      </c>
      <c r="B3" s="233"/>
      <c r="C3" s="233"/>
      <c r="D3" s="233"/>
    </row>
    <row r="4" spans="1:4" x14ac:dyDescent="0.25">
      <c r="A4" s="235" t="s">
        <v>135</v>
      </c>
      <c r="B4" s="235"/>
      <c r="C4" s="235"/>
      <c r="D4" s="235"/>
    </row>
    <row r="5" spans="1:4" ht="15.6" customHeight="1" x14ac:dyDescent="0.25">
      <c r="A5" s="26" t="s">
        <v>14</v>
      </c>
      <c r="B5" s="62" t="s">
        <v>137</v>
      </c>
      <c r="C5" s="224" t="s">
        <v>162</v>
      </c>
      <c r="D5" s="225"/>
    </row>
    <row r="6" spans="1:4" x14ac:dyDescent="0.25">
      <c r="A6" s="26" t="s">
        <v>16</v>
      </c>
      <c r="B6" s="62" t="s">
        <v>141</v>
      </c>
      <c r="C6" s="224" t="s">
        <v>152</v>
      </c>
      <c r="D6" s="225"/>
    </row>
    <row r="7" spans="1:4" x14ac:dyDescent="0.25">
      <c r="A7" s="26" t="s">
        <v>18</v>
      </c>
      <c r="B7" s="62" t="s">
        <v>140</v>
      </c>
      <c r="C7" s="222">
        <v>1904.0029999999999</v>
      </c>
      <c r="D7" s="223"/>
    </row>
    <row r="8" spans="1:4" x14ac:dyDescent="0.25">
      <c r="A8" s="26" t="s">
        <v>20</v>
      </c>
      <c r="B8" s="62" t="s">
        <v>138</v>
      </c>
      <c r="C8" s="224" t="s">
        <v>340</v>
      </c>
      <c r="D8" s="225"/>
    </row>
    <row r="9" spans="1:4" x14ac:dyDescent="0.25">
      <c r="A9" s="26" t="s">
        <v>21</v>
      </c>
      <c r="B9" s="62" t="s">
        <v>139</v>
      </c>
      <c r="C9" s="230">
        <v>45658</v>
      </c>
      <c r="D9" s="225"/>
    </row>
    <row r="10" spans="1:4" x14ac:dyDescent="0.25">
      <c r="A10" s="26" t="s">
        <v>23</v>
      </c>
      <c r="B10" s="62" t="s">
        <v>136</v>
      </c>
      <c r="C10" s="224">
        <v>12</v>
      </c>
      <c r="D10" s="225"/>
    </row>
    <row r="11" spans="1:4" x14ac:dyDescent="0.25">
      <c r="A11" s="67"/>
      <c r="B11" s="67"/>
      <c r="C11" s="67"/>
      <c r="D11" s="67"/>
    </row>
    <row r="12" spans="1:4" x14ac:dyDescent="0.25">
      <c r="A12" s="67"/>
      <c r="B12" s="67"/>
      <c r="C12" s="67"/>
      <c r="D12" s="67"/>
    </row>
    <row r="13" spans="1:4" x14ac:dyDescent="0.25">
      <c r="A13" s="67"/>
      <c r="B13" s="67"/>
      <c r="C13" s="67"/>
      <c r="D13" s="67"/>
    </row>
    <row r="14" spans="1:4" ht="16.149999999999999" customHeight="1" x14ac:dyDescent="0.25"/>
    <row r="15" spans="1:4" x14ac:dyDescent="0.25">
      <c r="A15" s="234" t="s">
        <v>11</v>
      </c>
      <c r="B15" s="234"/>
      <c r="C15" s="234"/>
      <c r="D15" s="234"/>
    </row>
    <row r="17" spans="1:4" x14ac:dyDescent="0.25">
      <c r="A17" s="66">
        <v>1</v>
      </c>
      <c r="B17" s="66" t="s">
        <v>12</v>
      </c>
      <c r="C17" s="18"/>
      <c r="D17" s="66" t="s">
        <v>13</v>
      </c>
    </row>
    <row r="18" spans="1:4" ht="16.5" thickBot="1" x14ac:dyDescent="0.3">
      <c r="A18" s="26" t="s">
        <v>14</v>
      </c>
      <c r="B18" s="27" t="s">
        <v>15</v>
      </c>
      <c r="C18" s="18"/>
      <c r="D18" s="76">
        <f>C7</f>
        <v>1904.0029999999999</v>
      </c>
    </row>
    <row r="19" spans="1:4" x14ac:dyDescent="0.25">
      <c r="A19" s="26" t="s">
        <v>16</v>
      </c>
      <c r="B19" s="27" t="s">
        <v>17</v>
      </c>
      <c r="C19" s="18"/>
      <c r="D19" s="22"/>
    </row>
    <row r="20" spans="1:4" x14ac:dyDescent="0.25">
      <c r="A20" s="26" t="s">
        <v>18</v>
      </c>
      <c r="B20" s="27" t="s">
        <v>19</v>
      </c>
      <c r="C20" s="18"/>
      <c r="D20" s="22"/>
    </row>
    <row r="21" spans="1:4" x14ac:dyDescent="0.25">
      <c r="A21" s="26" t="s">
        <v>20</v>
      </c>
      <c r="B21" s="27" t="s">
        <v>0</v>
      </c>
      <c r="C21" s="18"/>
      <c r="D21" s="22"/>
    </row>
    <row r="22" spans="1:4" x14ac:dyDescent="0.25">
      <c r="A22" s="26" t="s">
        <v>21</v>
      </c>
      <c r="B22" s="27" t="s">
        <v>22</v>
      </c>
      <c r="C22" s="18"/>
      <c r="D22" s="22"/>
    </row>
    <row r="23" spans="1:4" x14ac:dyDescent="0.25">
      <c r="A23" s="26"/>
      <c r="B23" s="27"/>
      <c r="C23" s="18"/>
      <c r="D23" s="22"/>
    </row>
    <row r="24" spans="1:4" x14ac:dyDescent="0.25">
      <c r="A24" s="26" t="s">
        <v>24</v>
      </c>
      <c r="B24" s="27" t="s">
        <v>25</v>
      </c>
      <c r="C24" s="18"/>
      <c r="D24" s="22"/>
    </row>
    <row r="25" spans="1:4" x14ac:dyDescent="0.25">
      <c r="A25" s="219" t="s">
        <v>1</v>
      </c>
      <c r="B25" s="219"/>
      <c r="C25" s="18"/>
      <c r="D25" s="22">
        <f>SUM(D18:D24)</f>
        <v>1904.0029999999999</v>
      </c>
    </row>
    <row r="27" spans="1:4" ht="5.45" customHeight="1" x14ac:dyDescent="0.25"/>
    <row r="28" spans="1:4" x14ac:dyDescent="0.25">
      <c r="A28" s="229" t="s">
        <v>26</v>
      </c>
      <c r="B28" s="229"/>
      <c r="C28" s="229"/>
      <c r="D28" s="229"/>
    </row>
    <row r="29" spans="1:4" x14ac:dyDescent="0.25">
      <c r="A29" s="2"/>
    </row>
    <row r="30" spans="1:4" x14ac:dyDescent="0.25">
      <c r="A30" s="228" t="s">
        <v>27</v>
      </c>
      <c r="B30" s="228"/>
      <c r="C30" s="228"/>
      <c r="D30" s="228"/>
    </row>
    <row r="31" spans="1:4" ht="16.5" thickBot="1" x14ac:dyDescent="0.3"/>
    <row r="32" spans="1:4" ht="16.5" thickBot="1" x14ac:dyDescent="0.3">
      <c r="A32" s="3" t="s">
        <v>28</v>
      </c>
      <c r="B32" s="68" t="s">
        <v>29</v>
      </c>
      <c r="C32" s="20" t="s">
        <v>91</v>
      </c>
      <c r="D32" s="21" t="s">
        <v>13</v>
      </c>
    </row>
    <row r="33" spans="1:4" ht="16.5" thickBot="1" x14ac:dyDescent="0.3">
      <c r="A33" s="4" t="s">
        <v>14</v>
      </c>
      <c r="B33" s="19" t="s">
        <v>30</v>
      </c>
      <c r="C33" s="23">
        <f>1/12</f>
        <v>8.3333333333333329E-2</v>
      </c>
      <c r="D33" s="22">
        <f>C33*D25</f>
        <v>158.66691666666665</v>
      </c>
    </row>
    <row r="34" spans="1:4" ht="16.5" thickBot="1" x14ac:dyDescent="0.3">
      <c r="A34" s="4" t="s">
        <v>16</v>
      </c>
      <c r="B34" s="19" t="s">
        <v>31</v>
      </c>
      <c r="C34" s="24">
        <f>1/12+1/12*1/3</f>
        <v>0.1111111111111111</v>
      </c>
      <c r="D34" s="22">
        <f>D25*C34</f>
        <v>211.55588888888886</v>
      </c>
    </row>
    <row r="35" spans="1:4" ht="16.5" thickBot="1" x14ac:dyDescent="0.3">
      <c r="A35" s="220" t="s">
        <v>1</v>
      </c>
      <c r="B35" s="227"/>
      <c r="C35" s="23">
        <f>SUM(C33:C34)</f>
        <v>0.19444444444444442</v>
      </c>
      <c r="D35" s="22">
        <f>SUM(D33:D34)</f>
        <v>370.22280555555551</v>
      </c>
    </row>
    <row r="36" spans="1:4" ht="3" customHeight="1" x14ac:dyDescent="0.25"/>
    <row r="37" spans="1:4" ht="62.45" customHeight="1" x14ac:dyDescent="0.25">
      <c r="A37" s="226" t="s">
        <v>92</v>
      </c>
      <c r="B37" s="226"/>
      <c r="C37" s="226"/>
      <c r="D37" s="226"/>
    </row>
    <row r="38" spans="1:4" ht="56.45" customHeight="1" x14ac:dyDescent="0.25">
      <c r="A38" s="226" t="s">
        <v>93</v>
      </c>
      <c r="B38" s="226"/>
      <c r="C38" s="226"/>
      <c r="D38" s="226"/>
    </row>
    <row r="39" spans="1:4" ht="65.45" customHeight="1" x14ac:dyDescent="0.25">
      <c r="A39" s="226" t="s">
        <v>94</v>
      </c>
      <c r="B39" s="226"/>
      <c r="C39" s="226"/>
      <c r="D39" s="226"/>
    </row>
    <row r="40" spans="1:4" ht="3.6" customHeight="1" x14ac:dyDescent="0.25"/>
    <row r="41" spans="1:4" ht="32.25" customHeight="1" x14ac:dyDescent="0.25">
      <c r="A41" s="231" t="s">
        <v>32</v>
      </c>
      <c r="B41" s="231"/>
      <c r="C41" s="231"/>
      <c r="D41" s="231"/>
    </row>
    <row r="42" spans="1:4" ht="16.5" thickBot="1" x14ac:dyDescent="0.3"/>
    <row r="43" spans="1:4" ht="16.5" thickBot="1" x14ac:dyDescent="0.3">
      <c r="A43" s="3" t="s">
        <v>33</v>
      </c>
      <c r="B43" s="65" t="s">
        <v>34</v>
      </c>
      <c r="C43" s="65" t="s">
        <v>35</v>
      </c>
      <c r="D43" s="65" t="s">
        <v>13</v>
      </c>
    </row>
    <row r="44" spans="1:4" ht="16.5" thickBot="1" x14ac:dyDescent="0.3">
      <c r="A44" s="4" t="s">
        <v>14</v>
      </c>
      <c r="B44" s="5" t="s">
        <v>36</v>
      </c>
      <c r="C44" s="6">
        <v>0.2</v>
      </c>
      <c r="D44" s="11">
        <f t="shared" ref="D44:D51" si="0">($D$25+$D$35)*C44</f>
        <v>454.84516111111111</v>
      </c>
    </row>
    <row r="45" spans="1:4" ht="16.5" thickBot="1" x14ac:dyDescent="0.3">
      <c r="A45" s="4" t="s">
        <v>16</v>
      </c>
      <c r="B45" s="5" t="s">
        <v>37</v>
      </c>
      <c r="C45" s="6">
        <v>2.5000000000000001E-2</v>
      </c>
      <c r="D45" s="11">
        <f t="shared" si="0"/>
        <v>56.855645138888889</v>
      </c>
    </row>
    <row r="46" spans="1:4" ht="16.5" thickBot="1" x14ac:dyDescent="0.3">
      <c r="A46" s="4" t="s">
        <v>18</v>
      </c>
      <c r="B46" s="5" t="s">
        <v>38</v>
      </c>
      <c r="C46" s="13">
        <v>0.03</v>
      </c>
      <c r="D46" s="11">
        <f t="shared" si="0"/>
        <v>68.226774166666658</v>
      </c>
    </row>
    <row r="47" spans="1:4" ht="16.5" thickBot="1" x14ac:dyDescent="0.3">
      <c r="A47" s="4" t="s">
        <v>20</v>
      </c>
      <c r="B47" s="5" t="s">
        <v>39</v>
      </c>
      <c r="C47" s="6">
        <v>1.4999999999999999E-2</v>
      </c>
      <c r="D47" s="11">
        <f t="shared" si="0"/>
        <v>34.113387083333329</v>
      </c>
    </row>
    <row r="48" spans="1:4" ht="16.5" thickBot="1" x14ac:dyDescent="0.3">
      <c r="A48" s="4" t="s">
        <v>21</v>
      </c>
      <c r="B48" s="5" t="s">
        <v>40</v>
      </c>
      <c r="C48" s="6">
        <v>0.01</v>
      </c>
      <c r="D48" s="11">
        <f t="shared" si="0"/>
        <v>22.742258055555553</v>
      </c>
    </row>
    <row r="49" spans="1:4" ht="16.5" thickBot="1" x14ac:dyDescent="0.3">
      <c r="A49" s="4" t="s">
        <v>23</v>
      </c>
      <c r="B49" s="5" t="s">
        <v>3</v>
      </c>
      <c r="C49" s="6">
        <v>6.0000000000000001E-3</v>
      </c>
      <c r="D49" s="11">
        <f t="shared" si="0"/>
        <v>13.645354833333332</v>
      </c>
    </row>
    <row r="50" spans="1:4" ht="16.5" thickBot="1" x14ac:dyDescent="0.3">
      <c r="A50" s="4" t="s">
        <v>24</v>
      </c>
      <c r="B50" s="5" t="s">
        <v>4</v>
      </c>
      <c r="C50" s="6">
        <v>2E-3</v>
      </c>
      <c r="D50" s="11">
        <f t="shared" si="0"/>
        <v>4.5484516111111111</v>
      </c>
    </row>
    <row r="51" spans="1:4" ht="16.5" thickBot="1" x14ac:dyDescent="0.3">
      <c r="A51" s="4" t="s">
        <v>41</v>
      </c>
      <c r="B51" s="5" t="s">
        <v>5</v>
      </c>
      <c r="C51" s="6">
        <v>0.08</v>
      </c>
      <c r="D51" s="11">
        <f t="shared" si="0"/>
        <v>181.93806444444442</v>
      </c>
    </row>
    <row r="52" spans="1:4" ht="16.5" thickBot="1" x14ac:dyDescent="0.3">
      <c r="A52" s="220" t="s">
        <v>42</v>
      </c>
      <c r="B52" s="221"/>
      <c r="C52" s="6">
        <f>SUM(C44:C51)</f>
        <v>0.36800000000000005</v>
      </c>
      <c r="D52" s="11">
        <f>SUM(D44:D51)</f>
        <v>836.91509644444454</v>
      </c>
    </row>
    <row r="53" spans="1:4" ht="7.9" customHeight="1" x14ac:dyDescent="0.25"/>
    <row r="54" spans="1:4" ht="30.6" customHeight="1" x14ac:dyDescent="0.25">
      <c r="A54" s="226" t="s">
        <v>95</v>
      </c>
      <c r="B54" s="226"/>
      <c r="C54" s="226"/>
      <c r="D54" s="226"/>
    </row>
    <row r="55" spans="1:4" ht="37.15" customHeight="1" x14ac:dyDescent="0.25">
      <c r="A55" s="226" t="s">
        <v>96</v>
      </c>
      <c r="B55" s="226"/>
      <c r="C55" s="226"/>
      <c r="D55" s="226"/>
    </row>
    <row r="56" spans="1:4" ht="37.15" customHeight="1" x14ac:dyDescent="0.25">
      <c r="A56" s="226" t="s">
        <v>97</v>
      </c>
      <c r="B56" s="226"/>
      <c r="C56" s="226"/>
      <c r="D56" s="226"/>
    </row>
    <row r="57" spans="1:4" ht="6" customHeight="1" x14ac:dyDescent="0.25"/>
    <row r="58" spans="1:4" x14ac:dyDescent="0.25">
      <c r="A58" s="228" t="s">
        <v>43</v>
      </c>
      <c r="B58" s="228"/>
      <c r="C58" s="228"/>
      <c r="D58" s="228"/>
    </row>
    <row r="59" spans="1:4" ht="16.5" thickBot="1" x14ac:dyDescent="0.3"/>
    <row r="60" spans="1:4" ht="16.5" thickBot="1" x14ac:dyDescent="0.3">
      <c r="A60" s="66" t="s">
        <v>44</v>
      </c>
      <c r="B60" s="66" t="s">
        <v>45</v>
      </c>
      <c r="C60" s="65"/>
      <c r="D60" s="66" t="s">
        <v>13</v>
      </c>
    </row>
    <row r="61" spans="1:4" x14ac:dyDescent="0.25">
      <c r="A61" s="26" t="s">
        <v>14</v>
      </c>
      <c r="B61" s="27" t="s">
        <v>292</v>
      </c>
      <c r="C61" s="18"/>
      <c r="D61" s="22">
        <f>(4.6*22*2)-(D18*6%)</f>
        <v>88.159819999999982</v>
      </c>
    </row>
    <row r="62" spans="1:4" x14ac:dyDescent="0.25">
      <c r="A62" s="26" t="s">
        <v>16</v>
      </c>
      <c r="B62" s="27" t="s">
        <v>288</v>
      </c>
      <c r="C62" s="18"/>
      <c r="D62" s="22">
        <f>26.7*22-(0.1*26.7*22)</f>
        <v>528.66</v>
      </c>
    </row>
    <row r="63" spans="1:4" x14ac:dyDescent="0.25">
      <c r="A63" s="26" t="s">
        <v>18</v>
      </c>
      <c r="B63" s="27" t="s">
        <v>88</v>
      </c>
      <c r="C63" s="18"/>
      <c r="D63" s="22">
        <v>6</v>
      </c>
    </row>
    <row r="64" spans="1:4" x14ac:dyDescent="0.25">
      <c r="A64" s="26" t="s">
        <v>20</v>
      </c>
      <c r="B64" s="27" t="s">
        <v>158</v>
      </c>
      <c r="C64" s="18"/>
      <c r="D64" s="22">
        <v>19.899999999999999</v>
      </c>
    </row>
    <row r="65" spans="1:4" x14ac:dyDescent="0.25">
      <c r="A65" s="219" t="s">
        <v>1</v>
      </c>
      <c r="B65" s="219"/>
      <c r="C65" s="18"/>
      <c r="D65" s="22">
        <f>SUM(D61:D64)</f>
        <v>642.71981999999991</v>
      </c>
    </row>
    <row r="68" spans="1:4" x14ac:dyDescent="0.25">
      <c r="A68" s="228" t="s">
        <v>46</v>
      </c>
      <c r="B68" s="228"/>
      <c r="C68" s="228"/>
      <c r="D68" s="228"/>
    </row>
    <row r="69" spans="1:4" ht="16.5" thickBot="1" x14ac:dyDescent="0.3"/>
    <row r="70" spans="1:4" ht="16.5" thickBot="1" x14ac:dyDescent="0.3">
      <c r="A70" s="66">
        <v>2</v>
      </c>
      <c r="B70" s="66" t="s">
        <v>47</v>
      </c>
      <c r="C70" s="65" t="s">
        <v>35</v>
      </c>
      <c r="D70" s="66" t="s">
        <v>13</v>
      </c>
    </row>
    <row r="71" spans="1:4" x14ac:dyDescent="0.25">
      <c r="A71" s="26" t="s">
        <v>28</v>
      </c>
      <c r="B71" s="27" t="s">
        <v>29</v>
      </c>
      <c r="C71" s="18"/>
      <c r="D71" s="22">
        <f>D35</f>
        <v>370.22280555555551</v>
      </c>
    </row>
    <row r="72" spans="1:4" x14ac:dyDescent="0.25">
      <c r="A72" s="26" t="s">
        <v>33</v>
      </c>
      <c r="B72" s="27" t="s">
        <v>34</v>
      </c>
      <c r="C72" s="18"/>
      <c r="D72" s="22">
        <f>D52</f>
        <v>836.91509644444454</v>
      </c>
    </row>
    <row r="73" spans="1:4" x14ac:dyDescent="0.25">
      <c r="A73" s="26" t="s">
        <v>44</v>
      </c>
      <c r="B73" s="27" t="s">
        <v>45</v>
      </c>
      <c r="C73" s="18"/>
      <c r="D73" s="22">
        <f>D65</f>
        <v>642.71981999999991</v>
      </c>
    </row>
    <row r="74" spans="1:4" x14ac:dyDescent="0.25">
      <c r="A74" s="219" t="s">
        <v>1</v>
      </c>
      <c r="B74" s="219"/>
      <c r="C74" s="18"/>
      <c r="D74" s="29">
        <f>SUM(D71:D73)</f>
        <v>1849.8577219999997</v>
      </c>
    </row>
    <row r="75" spans="1:4" x14ac:dyDescent="0.25">
      <c r="A75" s="1"/>
    </row>
    <row r="77" spans="1:4" x14ac:dyDescent="0.25">
      <c r="A77" s="229" t="s">
        <v>48</v>
      </c>
      <c r="B77" s="229"/>
      <c r="C77" s="229"/>
      <c r="D77" s="229"/>
    </row>
    <row r="78" spans="1:4" ht="16.5" thickBot="1" x14ac:dyDescent="0.3"/>
    <row r="79" spans="1:4" ht="16.5" thickBot="1" x14ac:dyDescent="0.3">
      <c r="A79" s="66">
        <v>3</v>
      </c>
      <c r="B79" s="66" t="s">
        <v>49</v>
      </c>
      <c r="C79" s="65" t="s">
        <v>35</v>
      </c>
      <c r="D79" s="66" t="s">
        <v>13</v>
      </c>
    </row>
    <row r="80" spans="1:4" x14ac:dyDescent="0.25">
      <c r="A80" s="26" t="s">
        <v>14</v>
      </c>
      <c r="B80" s="28" t="s">
        <v>50</v>
      </c>
      <c r="C80" s="24">
        <f>'Media de custo com mão de obra'!T5</f>
        <v>4.1999999999999997E-3</v>
      </c>
      <c r="D80" s="22">
        <f>C80*$D$25</f>
        <v>7.9968125999999993</v>
      </c>
    </row>
    <row r="81" spans="1:4" x14ac:dyDescent="0.25">
      <c r="A81" s="26" t="s">
        <v>16</v>
      </c>
      <c r="B81" s="28" t="s">
        <v>51</v>
      </c>
      <c r="C81" s="24">
        <f>C80*C51</f>
        <v>3.3599999999999998E-4</v>
      </c>
      <c r="D81" s="22">
        <f t="shared" ref="D81:D85" si="1">C81*$D$25</f>
        <v>0.63974500799999989</v>
      </c>
    </row>
    <row r="82" spans="1:4" x14ac:dyDescent="0.25">
      <c r="A82" s="26" t="s">
        <v>18</v>
      </c>
      <c r="B82" s="28" t="s">
        <v>52</v>
      </c>
      <c r="C82" s="24">
        <v>0.02</v>
      </c>
      <c r="D82" s="22">
        <f t="shared" si="1"/>
        <v>38.080059999999996</v>
      </c>
    </row>
    <row r="83" spans="1:4" x14ac:dyDescent="0.25">
      <c r="A83" s="26" t="s">
        <v>20</v>
      </c>
      <c r="B83" s="28" t="s">
        <v>53</v>
      </c>
      <c r="C83" s="24">
        <f>'Media de custo com mão de obra'!T6</f>
        <v>1.9400000000000001E-2</v>
      </c>
      <c r="D83" s="22">
        <f t="shared" si="1"/>
        <v>36.937658200000001</v>
      </c>
    </row>
    <row r="84" spans="1:4" x14ac:dyDescent="0.25">
      <c r="A84" s="26" t="s">
        <v>21</v>
      </c>
      <c r="B84" s="28" t="s">
        <v>54</v>
      </c>
      <c r="C84" s="24">
        <f>C83*C52</f>
        <v>7.1392000000000009E-3</v>
      </c>
      <c r="D84" s="22">
        <f t="shared" si="1"/>
        <v>13.593058217600001</v>
      </c>
    </row>
    <row r="85" spans="1:4" x14ac:dyDescent="0.25">
      <c r="A85" s="26" t="s">
        <v>23</v>
      </c>
      <c r="B85" s="28" t="s">
        <v>55</v>
      </c>
      <c r="C85" s="24">
        <v>0.02</v>
      </c>
      <c r="D85" s="22">
        <f t="shared" si="1"/>
        <v>38.080059999999996</v>
      </c>
    </row>
    <row r="86" spans="1:4" x14ac:dyDescent="0.25">
      <c r="A86" s="219" t="s">
        <v>1</v>
      </c>
      <c r="B86" s="219"/>
      <c r="C86" s="23">
        <f>SUM(C80:C85)</f>
        <v>7.1075200000000005E-2</v>
      </c>
      <c r="D86" s="22">
        <f>SUM(D80:D85)</f>
        <v>135.3273940256</v>
      </c>
    </row>
    <row r="89" spans="1:4" x14ac:dyDescent="0.25">
      <c r="A89" s="229" t="s">
        <v>56</v>
      </c>
      <c r="B89" s="229"/>
      <c r="C89" s="229"/>
      <c r="D89" s="229"/>
    </row>
    <row r="92" spans="1:4" x14ac:dyDescent="0.25">
      <c r="A92" s="228" t="s">
        <v>57</v>
      </c>
      <c r="B92" s="228"/>
      <c r="C92" s="228"/>
      <c r="D92" s="228"/>
    </row>
    <row r="93" spans="1:4" ht="16.5" thickBot="1" x14ac:dyDescent="0.3">
      <c r="A93" s="2"/>
    </row>
    <row r="94" spans="1:4" ht="16.5" thickBot="1" x14ac:dyDescent="0.3">
      <c r="A94" s="66" t="s">
        <v>58</v>
      </c>
      <c r="B94" s="66" t="s">
        <v>59</v>
      </c>
      <c r="C94" s="65" t="s">
        <v>35</v>
      </c>
      <c r="D94" s="66" t="s">
        <v>13</v>
      </c>
    </row>
    <row r="95" spans="1:4" x14ac:dyDescent="0.25">
      <c r="A95" s="26" t="s">
        <v>14</v>
      </c>
      <c r="B95" s="27" t="s">
        <v>2</v>
      </c>
      <c r="C95" s="32">
        <f>D95/D25</f>
        <v>0.14704611646673996</v>
      </c>
      <c r="D95" s="22">
        <f>'Custo de Substitução nas Ferias'!J13</f>
        <v>279.97624689102224</v>
      </c>
    </row>
    <row r="96" spans="1:4" x14ac:dyDescent="0.25">
      <c r="A96" s="26" t="s">
        <v>16</v>
      </c>
      <c r="B96" s="27" t="s">
        <v>59</v>
      </c>
      <c r="C96" s="32">
        <f>'Media de custo com mão de obra'!T8</f>
        <v>6.0999999999999995E-3</v>
      </c>
      <c r="D96" s="22">
        <f>C96*$D$25</f>
        <v>11.614418299999999</v>
      </c>
    </row>
    <row r="97" spans="1:4" x14ac:dyDescent="0.25">
      <c r="A97" s="26" t="s">
        <v>18</v>
      </c>
      <c r="B97" s="27" t="s">
        <v>60</v>
      </c>
      <c r="C97" s="32">
        <f>'Media de custo com mão de obra'!T9</f>
        <v>2.5000000000000001E-4</v>
      </c>
      <c r="D97" s="22">
        <f t="shared" ref="D97:D100" si="2">C97*$D$25</f>
        <v>0.47600074999999997</v>
      </c>
    </row>
    <row r="98" spans="1:4" x14ac:dyDescent="0.25">
      <c r="A98" s="26" t="s">
        <v>20</v>
      </c>
      <c r="B98" s="27" t="s">
        <v>61</v>
      </c>
      <c r="C98" s="32">
        <f>'Media de custo com mão de obra'!T10</f>
        <v>2.0499999999999997E-3</v>
      </c>
      <c r="D98" s="22">
        <f t="shared" si="2"/>
        <v>3.9032061499999995</v>
      </c>
    </row>
    <row r="99" spans="1:4" x14ac:dyDescent="0.25">
      <c r="A99" s="26" t="s">
        <v>21</v>
      </c>
      <c r="B99" s="27" t="s">
        <v>62</v>
      </c>
      <c r="C99" s="32">
        <f>'Media de custo com mão de obra'!T11</f>
        <v>5.9999999999999995E-4</v>
      </c>
      <c r="D99" s="22">
        <f t="shared" si="2"/>
        <v>1.1424017999999998</v>
      </c>
    </row>
    <row r="100" spans="1:4" x14ac:dyDescent="0.25">
      <c r="A100" s="26" t="s">
        <v>23</v>
      </c>
      <c r="B100" s="27" t="s">
        <v>25</v>
      </c>
      <c r="C100" s="32">
        <f>'Media de custo com mão de obra'!T12</f>
        <v>0</v>
      </c>
      <c r="D100" s="22">
        <f t="shared" si="2"/>
        <v>0</v>
      </c>
    </row>
    <row r="101" spans="1:4" x14ac:dyDescent="0.25">
      <c r="A101" s="219" t="s">
        <v>42</v>
      </c>
      <c r="B101" s="219"/>
      <c r="C101" s="33"/>
      <c r="D101" s="29">
        <f>SUM(D95:E100)</f>
        <v>297.11227389102231</v>
      </c>
    </row>
    <row r="104" spans="1:4" x14ac:dyDescent="0.25">
      <c r="A104" s="228" t="s">
        <v>63</v>
      </c>
      <c r="B104" s="228"/>
      <c r="C104" s="228"/>
      <c r="D104" s="228"/>
    </row>
    <row r="105" spans="1:4" x14ac:dyDescent="0.25">
      <c r="A105" s="2"/>
    </row>
    <row r="106" spans="1:4" x14ac:dyDescent="0.25">
      <c r="A106" s="66" t="s">
        <v>64</v>
      </c>
      <c r="B106" s="66" t="s">
        <v>65</v>
      </c>
      <c r="C106" s="18"/>
      <c r="D106" s="66" t="s">
        <v>13</v>
      </c>
    </row>
    <row r="107" spans="1:4" x14ac:dyDescent="0.25">
      <c r="A107" s="26" t="s">
        <v>14</v>
      </c>
      <c r="B107" s="27" t="s">
        <v>82</v>
      </c>
      <c r="C107" s="18"/>
      <c r="D107" s="22">
        <v>0</v>
      </c>
    </row>
    <row r="108" spans="1:4" x14ac:dyDescent="0.25">
      <c r="A108" s="219" t="s">
        <v>1</v>
      </c>
      <c r="B108" s="219"/>
      <c r="C108" s="18"/>
      <c r="D108" s="22">
        <f>D107</f>
        <v>0</v>
      </c>
    </row>
    <row r="111" spans="1:4" x14ac:dyDescent="0.25">
      <c r="A111" s="228" t="s">
        <v>66</v>
      </c>
      <c r="B111" s="228"/>
      <c r="C111" s="228"/>
      <c r="D111" s="228"/>
    </row>
    <row r="112" spans="1:4" x14ac:dyDescent="0.25">
      <c r="A112" s="2"/>
    </row>
    <row r="113" spans="1:4" x14ac:dyDescent="0.25">
      <c r="A113" s="66">
        <v>4</v>
      </c>
      <c r="B113" s="66" t="s">
        <v>67</v>
      </c>
      <c r="C113" s="18"/>
      <c r="D113" s="66" t="s">
        <v>13</v>
      </c>
    </row>
    <row r="114" spans="1:4" x14ac:dyDescent="0.25">
      <c r="A114" s="26" t="s">
        <v>58</v>
      </c>
      <c r="B114" s="27" t="s">
        <v>59</v>
      </c>
      <c r="C114" s="18"/>
      <c r="D114" s="22">
        <f>D101</f>
        <v>297.11227389102231</v>
      </c>
    </row>
    <row r="115" spans="1:4" x14ac:dyDescent="0.25">
      <c r="A115" s="26" t="s">
        <v>64</v>
      </c>
      <c r="B115" s="27" t="s">
        <v>65</v>
      </c>
      <c r="C115" s="18"/>
      <c r="D115" s="22">
        <f>D108</f>
        <v>0</v>
      </c>
    </row>
    <row r="116" spans="1:4" x14ac:dyDescent="0.25">
      <c r="A116" s="219" t="s">
        <v>1</v>
      </c>
      <c r="B116" s="219"/>
      <c r="C116" s="18"/>
      <c r="D116" s="22">
        <f>SUM(D114:D115)</f>
        <v>297.11227389102231</v>
      </c>
    </row>
    <row r="119" spans="1:4" x14ac:dyDescent="0.25">
      <c r="A119" s="229" t="s">
        <v>68</v>
      </c>
      <c r="B119" s="229"/>
      <c r="C119" s="229"/>
      <c r="D119" s="229"/>
    </row>
    <row r="121" spans="1:4" x14ac:dyDescent="0.25">
      <c r="A121" s="66">
        <v>5</v>
      </c>
      <c r="B121" s="30" t="s">
        <v>6</v>
      </c>
      <c r="C121" s="18"/>
      <c r="D121" s="66" t="s">
        <v>13</v>
      </c>
    </row>
    <row r="122" spans="1:4" x14ac:dyDescent="0.25">
      <c r="A122" s="26" t="s">
        <v>14</v>
      </c>
      <c r="B122" s="27" t="s">
        <v>69</v>
      </c>
      <c r="C122" s="18"/>
      <c r="D122" s="120">
        <f>Uniformes!L82</f>
        <v>87.34666666666665</v>
      </c>
    </row>
    <row r="123" spans="1:4" x14ac:dyDescent="0.25">
      <c r="A123" s="26" t="s">
        <v>16</v>
      </c>
      <c r="B123" s="27" t="s">
        <v>70</v>
      </c>
      <c r="C123" s="18"/>
      <c r="D123" s="22">
        <f>'Equipamentos '!M30</f>
        <v>356.94666666666666</v>
      </c>
    </row>
    <row r="124" spans="1:4" x14ac:dyDescent="0.25">
      <c r="A124" s="26" t="s">
        <v>18</v>
      </c>
      <c r="B124" s="27" t="s">
        <v>89</v>
      </c>
      <c r="C124" s="18"/>
      <c r="D124" s="48"/>
    </row>
    <row r="125" spans="1:4" ht="31.5" x14ac:dyDescent="0.25">
      <c r="A125" s="26" t="s">
        <v>20</v>
      </c>
      <c r="B125" s="27" t="s">
        <v>272</v>
      </c>
      <c r="C125" s="18"/>
      <c r="D125" s="22">
        <f>155/2</f>
        <v>77.5</v>
      </c>
    </row>
    <row r="126" spans="1:4" x14ac:dyDescent="0.25">
      <c r="A126" s="219" t="s">
        <v>42</v>
      </c>
      <c r="B126" s="219"/>
      <c r="C126" s="18"/>
      <c r="D126" s="48">
        <f>SUM(D122:D125)</f>
        <v>521.79333333333329</v>
      </c>
    </row>
    <row r="129" spans="1:6" x14ac:dyDescent="0.25">
      <c r="A129" s="229" t="s">
        <v>71</v>
      </c>
      <c r="B129" s="229"/>
      <c r="C129" s="229"/>
      <c r="D129" s="229"/>
    </row>
    <row r="130" spans="1:6" ht="16.5" thickBot="1" x14ac:dyDescent="0.3"/>
    <row r="131" spans="1:6" ht="16.5" thickBot="1" x14ac:dyDescent="0.3">
      <c r="A131" s="3">
        <v>6</v>
      </c>
      <c r="B131" s="7" t="s">
        <v>7</v>
      </c>
      <c r="C131" s="65" t="s">
        <v>35</v>
      </c>
      <c r="D131" s="65" t="s">
        <v>13</v>
      </c>
    </row>
    <row r="132" spans="1:6" ht="16.5" thickBot="1" x14ac:dyDescent="0.3">
      <c r="A132" s="4" t="s">
        <v>14</v>
      </c>
      <c r="B132" s="5" t="s">
        <v>8</v>
      </c>
      <c r="C132" s="14">
        <f>'Media de custo com mão de obra'!T14</f>
        <v>1.66E-2</v>
      </c>
      <c r="D132" s="11">
        <f>(D25+D74+D86+D116+D126)*C132</f>
        <v>78.154355805949251</v>
      </c>
    </row>
    <row r="133" spans="1:6" ht="16.5" thickBot="1" x14ac:dyDescent="0.3">
      <c r="A133" s="4" t="s">
        <v>131</v>
      </c>
      <c r="B133" s="5" t="s">
        <v>345</v>
      </c>
      <c r="C133" s="14"/>
      <c r="D133" s="11">
        <v>75</v>
      </c>
    </row>
    <row r="134" spans="1:6" ht="16.5" thickBot="1" x14ac:dyDescent="0.3">
      <c r="A134" s="4" t="s">
        <v>16</v>
      </c>
      <c r="B134" s="5" t="s">
        <v>10</v>
      </c>
      <c r="C134" s="14">
        <f>'Media de custo com mão de obra'!T15</f>
        <v>2.4500000000000001E-2</v>
      </c>
      <c r="D134" s="11">
        <f>(D25+D74+D86+D116+D126+D132+D133)*C134</f>
        <v>119.10057793686966</v>
      </c>
    </row>
    <row r="135" spans="1:6" ht="16.5" thickBot="1" x14ac:dyDescent="0.3">
      <c r="A135" s="4" t="s">
        <v>18</v>
      </c>
      <c r="B135" s="5" t="s">
        <v>9</v>
      </c>
      <c r="C135" s="14">
        <f>SUM(C136,C138)</f>
        <v>0.14250000000000002</v>
      </c>
      <c r="D135" s="11">
        <f>((D25+D74+D86+D116+D126+D132+D133+D134)/(1-(C135)))*C135</f>
        <v>827.63811501046109</v>
      </c>
    </row>
    <row r="136" spans="1:6" ht="16.5" thickBot="1" x14ac:dyDescent="0.3">
      <c r="A136" s="4"/>
      <c r="B136" s="5" t="s">
        <v>90</v>
      </c>
      <c r="C136" s="14">
        <f>1.65%+7.6%</f>
        <v>9.2499999999999999E-2</v>
      </c>
      <c r="D136" s="11">
        <f>((D25+D74+D86+D116+D126+D132+D133+D134)/(1-(C135)))*C136</f>
        <v>537.23877641029924</v>
      </c>
    </row>
    <row r="137" spans="1:6" ht="16.5" thickBot="1" x14ac:dyDescent="0.3">
      <c r="A137" s="4"/>
      <c r="B137" s="5" t="s">
        <v>72</v>
      </c>
      <c r="C137" s="14">
        <v>0</v>
      </c>
      <c r="D137" s="11"/>
    </row>
    <row r="138" spans="1:6" ht="16.5" thickBot="1" x14ac:dyDescent="0.3">
      <c r="A138" s="4"/>
      <c r="B138" s="5" t="s">
        <v>73</v>
      </c>
      <c r="C138" s="14">
        <v>0.05</v>
      </c>
      <c r="D138" s="11">
        <f>((D25+D74+D86+D116+D126+D132+D133+D134)/(1-(C135)))*C138</f>
        <v>290.3993386001618</v>
      </c>
      <c r="F138" s="54">
        <f>D136+D138</f>
        <v>827.63811501046098</v>
      </c>
    </row>
    <row r="139" spans="1:6" ht="16.5" thickBot="1" x14ac:dyDescent="0.3">
      <c r="A139" s="220" t="s">
        <v>42</v>
      </c>
      <c r="B139" s="221"/>
      <c r="C139" s="14">
        <f>SUM(C132:C135)</f>
        <v>0.18360000000000001</v>
      </c>
      <c r="D139" s="11">
        <f>SUM(D132:D135)</f>
        <v>1099.89304875328</v>
      </c>
    </row>
    <row r="142" spans="1:6" x14ac:dyDescent="0.25">
      <c r="A142" s="229" t="s">
        <v>74</v>
      </c>
      <c r="B142" s="229"/>
      <c r="C142" s="229"/>
      <c r="D142" s="229"/>
    </row>
    <row r="143" spans="1:6" ht="16.5" thickBot="1" x14ac:dyDescent="0.3"/>
    <row r="144" spans="1:6" ht="16.5" thickBot="1" x14ac:dyDescent="0.3">
      <c r="A144" s="3"/>
      <c r="B144" s="65" t="s">
        <v>75</v>
      </c>
      <c r="C144" s="65"/>
      <c r="D144" s="65" t="s">
        <v>13</v>
      </c>
    </row>
    <row r="145" spans="1:7" ht="16.5" thickBot="1" x14ac:dyDescent="0.3">
      <c r="A145" s="9" t="s">
        <v>14</v>
      </c>
      <c r="B145" s="5" t="s">
        <v>11</v>
      </c>
      <c r="C145" s="14"/>
      <c r="D145" s="12">
        <f>D25</f>
        <v>1904.0029999999999</v>
      </c>
    </row>
    <row r="146" spans="1:7" ht="16.5" thickBot="1" x14ac:dyDescent="0.3">
      <c r="A146" s="9" t="s">
        <v>16</v>
      </c>
      <c r="B146" s="5" t="s">
        <v>26</v>
      </c>
      <c r="C146" s="14"/>
      <c r="D146" s="12">
        <f>D74</f>
        <v>1849.8577219999997</v>
      </c>
    </row>
    <row r="147" spans="1:7" ht="16.5" thickBot="1" x14ac:dyDescent="0.3">
      <c r="A147" s="9" t="s">
        <v>18</v>
      </c>
      <c r="B147" s="5" t="s">
        <v>48</v>
      </c>
      <c r="C147" s="14"/>
      <c r="D147" s="12">
        <f>D86</f>
        <v>135.3273940256</v>
      </c>
    </row>
    <row r="148" spans="1:7" ht="16.5" thickBot="1" x14ac:dyDescent="0.3">
      <c r="A148" s="9" t="s">
        <v>20</v>
      </c>
      <c r="B148" s="5" t="s">
        <v>56</v>
      </c>
      <c r="C148" s="14"/>
      <c r="D148" s="12">
        <f>D116</f>
        <v>297.11227389102231</v>
      </c>
    </row>
    <row r="149" spans="1:7" ht="16.5" thickBot="1" x14ac:dyDescent="0.3">
      <c r="A149" s="9" t="s">
        <v>21</v>
      </c>
      <c r="B149" s="5" t="s">
        <v>68</v>
      </c>
      <c r="C149" s="14"/>
      <c r="D149" s="12">
        <f>D126</f>
        <v>521.79333333333329</v>
      </c>
    </row>
    <row r="150" spans="1:7" ht="16.5" thickBot="1" x14ac:dyDescent="0.3">
      <c r="A150" s="220" t="s">
        <v>76</v>
      </c>
      <c r="B150" s="221"/>
      <c r="C150" s="14"/>
      <c r="D150" s="12">
        <f>SUM(D145:D149)</f>
        <v>4708.0937232499546</v>
      </c>
    </row>
    <row r="151" spans="1:7" ht="16.5" thickBot="1" x14ac:dyDescent="0.3">
      <c r="A151" s="9" t="s">
        <v>23</v>
      </c>
      <c r="B151" s="5" t="s">
        <v>77</v>
      </c>
      <c r="C151" s="14"/>
      <c r="D151" s="12">
        <f>D139</f>
        <v>1099.89304875328</v>
      </c>
    </row>
    <row r="152" spans="1:7" ht="16.5" thickBot="1" x14ac:dyDescent="0.3">
      <c r="A152" s="220" t="s">
        <v>78</v>
      </c>
      <c r="B152" s="221"/>
      <c r="D152" s="12">
        <f>SUM(D150:D151)</f>
        <v>5807.9867720032344</v>
      </c>
      <c r="F152" s="201">
        <v>5718.38</v>
      </c>
      <c r="G152" s="54">
        <f>D152-F152</f>
        <v>89.606772003234255</v>
      </c>
    </row>
  </sheetData>
  <mergeCells count="43">
    <mergeCell ref="A25:B25"/>
    <mergeCell ref="A1:D1"/>
    <mergeCell ref="A2:D2"/>
    <mergeCell ref="A3:D3"/>
    <mergeCell ref="A4:D4"/>
    <mergeCell ref="C5:D5"/>
    <mergeCell ref="C6:D6"/>
    <mergeCell ref="C7:D7"/>
    <mergeCell ref="C8:D8"/>
    <mergeCell ref="C9:D9"/>
    <mergeCell ref="C10:D10"/>
    <mergeCell ref="A15:D15"/>
    <mergeCell ref="A58:D58"/>
    <mergeCell ref="A28:D28"/>
    <mergeCell ref="A30:D30"/>
    <mergeCell ref="A35:B35"/>
    <mergeCell ref="A37:D37"/>
    <mergeCell ref="A38:D38"/>
    <mergeCell ref="A39:D39"/>
    <mergeCell ref="A41:D41"/>
    <mergeCell ref="A52:B52"/>
    <mergeCell ref="A54:D54"/>
    <mergeCell ref="A55:D55"/>
    <mergeCell ref="A56:D56"/>
    <mergeCell ref="A116:B116"/>
    <mergeCell ref="A65:B65"/>
    <mergeCell ref="A68:D68"/>
    <mergeCell ref="A74:B74"/>
    <mergeCell ref="A77:D77"/>
    <mergeCell ref="A86:B86"/>
    <mergeCell ref="A89:D89"/>
    <mergeCell ref="A92:D92"/>
    <mergeCell ref="A101:B101"/>
    <mergeCell ref="A104:D104"/>
    <mergeCell ref="A108:B108"/>
    <mergeCell ref="A111:D111"/>
    <mergeCell ref="A152:B152"/>
    <mergeCell ref="A119:D119"/>
    <mergeCell ref="A126:B126"/>
    <mergeCell ref="A129:D129"/>
    <mergeCell ref="A139:B139"/>
    <mergeCell ref="A142:D142"/>
    <mergeCell ref="A150:B150"/>
  </mergeCells>
  <pageMargins left="0.511811024" right="0.511811024" top="0.78740157499999996" bottom="0.78740157499999996" header="0.31496062000000002" footer="0.31496062000000002"/>
  <pageSetup paperSize="9" scale="78" fitToHeight="0" orientation="portrait" r:id="rId1"/>
  <rowBreaks count="3" manualBreakCount="3">
    <brk id="57" max="3" man="1"/>
    <brk id="75" max="16383" man="1"/>
    <brk id="14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153"/>
  <sheetViews>
    <sheetView showGridLines="0" view="pageBreakPreview" topLeftCell="A109" zoomScaleNormal="115" zoomScaleSheetLayoutView="100" workbookViewId="0">
      <selection activeCell="A134" sqref="A134:D134"/>
    </sheetView>
  </sheetViews>
  <sheetFormatPr defaultColWidth="9.140625" defaultRowHeight="15.75" x14ac:dyDescent="0.25"/>
  <cols>
    <col min="1" max="1" width="9.140625" style="8"/>
    <col min="2" max="2" width="72.140625" style="8" customWidth="1"/>
    <col min="3" max="3" width="20" style="8" customWidth="1"/>
    <col min="4" max="4" width="19" style="8" customWidth="1"/>
    <col min="5" max="5" width="12.7109375" style="8" hidden="1" customWidth="1"/>
    <col min="6" max="6" width="38.42578125" style="8" customWidth="1"/>
    <col min="7" max="7" width="15.140625" style="8" customWidth="1"/>
    <col min="8" max="16384" width="9.140625" style="8"/>
  </cols>
  <sheetData>
    <row r="1" spans="1:4" ht="23.25" x14ac:dyDescent="0.35">
      <c r="A1" s="232" t="s">
        <v>79</v>
      </c>
      <c r="B1" s="232"/>
      <c r="C1" s="232"/>
      <c r="D1" s="232"/>
    </row>
    <row r="2" spans="1:4" ht="23.25" x14ac:dyDescent="0.35">
      <c r="A2" s="232" t="s">
        <v>80</v>
      </c>
      <c r="B2" s="232"/>
      <c r="C2" s="232"/>
      <c r="D2" s="232"/>
    </row>
    <row r="3" spans="1:4" x14ac:dyDescent="0.25">
      <c r="A3" s="233" t="s">
        <v>81</v>
      </c>
      <c r="B3" s="233"/>
      <c r="C3" s="233"/>
      <c r="D3" s="233"/>
    </row>
    <row r="4" spans="1:4" x14ac:dyDescent="0.25">
      <c r="A4" s="63"/>
      <c r="B4" s="63"/>
      <c r="C4" s="63"/>
      <c r="D4" s="63"/>
    </row>
    <row r="5" spans="1:4" x14ac:dyDescent="0.25">
      <c r="A5" s="235" t="s">
        <v>135</v>
      </c>
      <c r="B5" s="235"/>
      <c r="C5" s="235"/>
      <c r="D5" s="235"/>
    </row>
    <row r="6" spans="1:4" x14ac:dyDescent="0.25">
      <c r="A6" s="26" t="s">
        <v>14</v>
      </c>
      <c r="B6" s="62" t="s">
        <v>137</v>
      </c>
      <c r="C6" s="224" t="s">
        <v>87</v>
      </c>
      <c r="D6" s="225"/>
    </row>
    <row r="7" spans="1:4" x14ac:dyDescent="0.25">
      <c r="A7" s="26" t="s">
        <v>16</v>
      </c>
      <c r="B7" s="62" t="s">
        <v>141</v>
      </c>
      <c r="C7" s="224" t="s">
        <v>128</v>
      </c>
      <c r="D7" s="225"/>
    </row>
    <row r="8" spans="1:4" x14ac:dyDescent="0.25">
      <c r="A8" s="26" t="s">
        <v>18</v>
      </c>
      <c r="B8" s="62" t="s">
        <v>140</v>
      </c>
      <c r="C8" s="222">
        <v>1722.2260000000001</v>
      </c>
      <c r="D8" s="240"/>
    </row>
    <row r="9" spans="1:4" x14ac:dyDescent="0.25">
      <c r="A9" s="26" t="s">
        <v>20</v>
      </c>
      <c r="B9" s="62" t="s">
        <v>138</v>
      </c>
      <c r="C9" s="224" t="s">
        <v>340</v>
      </c>
      <c r="D9" s="225"/>
    </row>
    <row r="10" spans="1:4" x14ac:dyDescent="0.25">
      <c r="A10" s="26" t="s">
        <v>21</v>
      </c>
      <c r="B10" s="62" t="s">
        <v>139</v>
      </c>
      <c r="C10" s="230">
        <v>45658</v>
      </c>
      <c r="D10" s="225"/>
    </row>
    <row r="11" spans="1:4" x14ac:dyDescent="0.25">
      <c r="A11" s="26" t="s">
        <v>23</v>
      </c>
      <c r="B11" s="62" t="s">
        <v>136</v>
      </c>
      <c r="C11" s="224">
        <v>12</v>
      </c>
      <c r="D11" s="225"/>
    </row>
    <row r="12" spans="1:4" x14ac:dyDescent="0.25">
      <c r="A12" s="63"/>
      <c r="B12" s="63"/>
      <c r="C12" s="63"/>
      <c r="D12" s="63"/>
    </row>
    <row r="13" spans="1:4" x14ac:dyDescent="0.25">
      <c r="A13" s="63"/>
      <c r="B13" s="63"/>
      <c r="C13" s="63"/>
      <c r="D13" s="63"/>
    </row>
    <row r="14" spans="1:4" x14ac:dyDescent="0.25">
      <c r="A14" s="63"/>
      <c r="B14" s="63"/>
      <c r="C14" s="63"/>
      <c r="D14" s="63"/>
    </row>
    <row r="15" spans="1:4" ht="6" customHeight="1" x14ac:dyDescent="0.25"/>
    <row r="16" spans="1:4" x14ac:dyDescent="0.25">
      <c r="A16" s="234" t="s">
        <v>11</v>
      </c>
      <c r="B16" s="234"/>
      <c r="C16" s="234"/>
      <c r="D16" s="234"/>
    </row>
    <row r="18" spans="1:4" x14ac:dyDescent="0.25">
      <c r="A18" s="35">
        <v>1</v>
      </c>
      <c r="B18" s="35" t="s">
        <v>12</v>
      </c>
      <c r="C18" s="18"/>
      <c r="D18" s="35" t="s">
        <v>13</v>
      </c>
    </row>
    <row r="19" spans="1:4" ht="16.5" thickBot="1" x14ac:dyDescent="0.3">
      <c r="A19" s="26" t="s">
        <v>14</v>
      </c>
      <c r="B19" s="27" t="s">
        <v>15</v>
      </c>
      <c r="C19" s="18"/>
      <c r="D19" s="76">
        <f>C8</f>
        <v>1722.2260000000001</v>
      </c>
    </row>
    <row r="20" spans="1:4" x14ac:dyDescent="0.25">
      <c r="A20" s="26" t="s">
        <v>16</v>
      </c>
      <c r="B20" s="27" t="s">
        <v>17</v>
      </c>
      <c r="C20" s="18"/>
      <c r="D20" s="22"/>
    </row>
    <row r="21" spans="1:4" x14ac:dyDescent="0.25">
      <c r="A21" s="26" t="s">
        <v>18</v>
      </c>
      <c r="B21" s="27" t="s">
        <v>19</v>
      </c>
      <c r="C21" s="18"/>
      <c r="D21" s="22"/>
    </row>
    <row r="22" spans="1:4" x14ac:dyDescent="0.25">
      <c r="A22" s="26" t="s">
        <v>20</v>
      </c>
      <c r="B22" s="27" t="s">
        <v>0</v>
      </c>
      <c r="C22" s="18"/>
      <c r="D22" s="22"/>
    </row>
    <row r="23" spans="1:4" x14ac:dyDescent="0.25">
      <c r="A23" s="26" t="s">
        <v>21</v>
      </c>
      <c r="B23" s="27" t="s">
        <v>22</v>
      </c>
      <c r="C23" s="18"/>
      <c r="D23" s="22"/>
    </row>
    <row r="24" spans="1:4" x14ac:dyDescent="0.25">
      <c r="A24" s="26"/>
      <c r="B24" s="27"/>
      <c r="C24" s="18"/>
      <c r="D24" s="22"/>
    </row>
    <row r="25" spans="1:4" x14ac:dyDescent="0.25">
      <c r="A25" s="26" t="s">
        <v>24</v>
      </c>
      <c r="B25" s="27" t="s">
        <v>25</v>
      </c>
      <c r="C25" s="18"/>
      <c r="D25" s="22"/>
    </row>
    <row r="26" spans="1:4" x14ac:dyDescent="0.25">
      <c r="A26" s="219" t="s">
        <v>1</v>
      </c>
      <c r="B26" s="219"/>
      <c r="C26" s="18"/>
      <c r="D26" s="22">
        <f>SUM(D19:D25)</f>
        <v>1722.2260000000001</v>
      </c>
    </row>
    <row r="28" spans="1:4" ht="5.45" customHeight="1" x14ac:dyDescent="0.25"/>
    <row r="29" spans="1:4" x14ac:dyDescent="0.25">
      <c r="A29" s="229" t="s">
        <v>26</v>
      </c>
      <c r="B29" s="229"/>
      <c r="C29" s="229"/>
      <c r="D29" s="229"/>
    </row>
    <row r="30" spans="1:4" x14ac:dyDescent="0.25">
      <c r="A30" s="2"/>
    </row>
    <row r="31" spans="1:4" x14ac:dyDescent="0.25">
      <c r="A31" s="228" t="s">
        <v>27</v>
      </c>
      <c r="B31" s="228"/>
      <c r="C31" s="228"/>
      <c r="D31" s="228"/>
    </row>
    <row r="32" spans="1:4" ht="16.5" thickBot="1" x14ac:dyDescent="0.3"/>
    <row r="33" spans="1:4" ht="16.5" thickBot="1" x14ac:dyDescent="0.3">
      <c r="A33" s="3" t="s">
        <v>28</v>
      </c>
      <c r="B33" s="36" t="s">
        <v>29</v>
      </c>
      <c r="C33" s="20" t="s">
        <v>91</v>
      </c>
      <c r="D33" s="21" t="s">
        <v>13</v>
      </c>
    </row>
    <row r="34" spans="1:4" ht="16.5" thickBot="1" x14ac:dyDescent="0.3">
      <c r="A34" s="4" t="s">
        <v>14</v>
      </c>
      <c r="B34" s="19" t="s">
        <v>30</v>
      </c>
      <c r="C34" s="23">
        <f>1/12</f>
        <v>8.3333333333333329E-2</v>
      </c>
      <c r="D34" s="22">
        <f>C34*D26</f>
        <v>143.51883333333333</v>
      </c>
    </row>
    <row r="35" spans="1:4" ht="16.5" thickBot="1" x14ac:dyDescent="0.3">
      <c r="A35" s="4" t="s">
        <v>16</v>
      </c>
      <c r="B35" s="19" t="s">
        <v>31</v>
      </c>
      <c r="C35" s="24">
        <f>1/12+1/12*1/3</f>
        <v>0.1111111111111111</v>
      </c>
      <c r="D35" s="22">
        <f>D26*C35</f>
        <v>191.35844444444444</v>
      </c>
    </row>
    <row r="36" spans="1:4" ht="16.5" thickBot="1" x14ac:dyDescent="0.3">
      <c r="A36" s="220" t="s">
        <v>1</v>
      </c>
      <c r="B36" s="227"/>
      <c r="C36" s="23">
        <f>SUM(C34:C35)</f>
        <v>0.19444444444444442</v>
      </c>
      <c r="D36" s="22">
        <f>SUM(D34:D35)</f>
        <v>334.87727777777775</v>
      </c>
    </row>
    <row r="37" spans="1:4" ht="3" customHeight="1" x14ac:dyDescent="0.25"/>
    <row r="38" spans="1:4" ht="62.45" customHeight="1" x14ac:dyDescent="0.25">
      <c r="A38" s="226" t="s">
        <v>92</v>
      </c>
      <c r="B38" s="226"/>
      <c r="C38" s="226"/>
      <c r="D38" s="226"/>
    </row>
    <row r="39" spans="1:4" ht="56.45" customHeight="1" x14ac:dyDescent="0.25">
      <c r="A39" s="226" t="s">
        <v>93</v>
      </c>
      <c r="B39" s="226"/>
      <c r="C39" s="226"/>
      <c r="D39" s="226"/>
    </row>
    <row r="40" spans="1:4" ht="65.45" customHeight="1" x14ac:dyDescent="0.25">
      <c r="A40" s="226" t="s">
        <v>94</v>
      </c>
      <c r="B40" s="226"/>
      <c r="C40" s="226"/>
      <c r="D40" s="226"/>
    </row>
    <row r="41" spans="1:4" ht="3.6" customHeight="1" x14ac:dyDescent="0.25"/>
    <row r="42" spans="1:4" ht="32.25" customHeight="1" x14ac:dyDescent="0.25">
      <c r="A42" s="231" t="s">
        <v>32</v>
      </c>
      <c r="B42" s="231"/>
      <c r="C42" s="231"/>
      <c r="D42" s="231"/>
    </row>
    <row r="43" spans="1:4" ht="16.5" thickBot="1" x14ac:dyDescent="0.3"/>
    <row r="44" spans="1:4" ht="16.5" thickBot="1" x14ac:dyDescent="0.3">
      <c r="A44" s="3" t="s">
        <v>33</v>
      </c>
      <c r="B44" s="34" t="s">
        <v>34</v>
      </c>
      <c r="C44" s="34" t="s">
        <v>35</v>
      </c>
      <c r="D44" s="34" t="s">
        <v>13</v>
      </c>
    </row>
    <row r="45" spans="1:4" ht="16.5" thickBot="1" x14ac:dyDescent="0.3">
      <c r="A45" s="4" t="s">
        <v>14</v>
      </c>
      <c r="B45" s="5" t="s">
        <v>36</v>
      </c>
      <c r="C45" s="6">
        <v>0.2</v>
      </c>
      <c r="D45" s="11">
        <f t="shared" ref="D45:D52" si="0">($D$26+$D$36)*C45</f>
        <v>411.42065555555558</v>
      </c>
    </row>
    <row r="46" spans="1:4" ht="16.5" thickBot="1" x14ac:dyDescent="0.3">
      <c r="A46" s="4" t="s">
        <v>16</v>
      </c>
      <c r="B46" s="5" t="s">
        <v>37</v>
      </c>
      <c r="C46" s="6">
        <v>2.5000000000000001E-2</v>
      </c>
      <c r="D46" s="11">
        <f t="shared" si="0"/>
        <v>51.427581944444448</v>
      </c>
    </row>
    <row r="47" spans="1:4" ht="16.5" thickBot="1" x14ac:dyDescent="0.3">
      <c r="A47" s="4" t="s">
        <v>18</v>
      </c>
      <c r="B47" s="5" t="s">
        <v>38</v>
      </c>
      <c r="C47" s="13">
        <v>0.03</v>
      </c>
      <c r="D47" s="11">
        <f t="shared" si="0"/>
        <v>61.713098333333328</v>
      </c>
    </row>
    <row r="48" spans="1:4" ht="16.5" thickBot="1" x14ac:dyDescent="0.3">
      <c r="A48" s="4" t="s">
        <v>20</v>
      </c>
      <c r="B48" s="5" t="s">
        <v>39</v>
      </c>
      <c r="C48" s="6">
        <v>1.4999999999999999E-2</v>
      </c>
      <c r="D48" s="11">
        <f t="shared" si="0"/>
        <v>30.856549166666664</v>
      </c>
    </row>
    <row r="49" spans="1:4" ht="16.5" thickBot="1" x14ac:dyDescent="0.3">
      <c r="A49" s="4" t="s">
        <v>21</v>
      </c>
      <c r="B49" s="5" t="s">
        <v>40</v>
      </c>
      <c r="C49" s="6">
        <v>0.01</v>
      </c>
      <c r="D49" s="11">
        <f t="shared" si="0"/>
        <v>20.571032777777777</v>
      </c>
    </row>
    <row r="50" spans="1:4" ht="16.5" thickBot="1" x14ac:dyDescent="0.3">
      <c r="A50" s="4" t="s">
        <v>23</v>
      </c>
      <c r="B50" s="5" t="s">
        <v>3</v>
      </c>
      <c r="C50" s="6">
        <v>6.0000000000000001E-3</v>
      </c>
      <c r="D50" s="11">
        <f t="shared" si="0"/>
        <v>12.342619666666666</v>
      </c>
    </row>
    <row r="51" spans="1:4" ht="16.5" thickBot="1" x14ac:dyDescent="0.3">
      <c r="A51" s="4" t="s">
        <v>24</v>
      </c>
      <c r="B51" s="5" t="s">
        <v>4</v>
      </c>
      <c r="C51" s="6">
        <v>2E-3</v>
      </c>
      <c r="D51" s="11">
        <f t="shared" si="0"/>
        <v>4.1142065555555556</v>
      </c>
    </row>
    <row r="52" spans="1:4" ht="16.5" thickBot="1" x14ac:dyDescent="0.3">
      <c r="A52" s="4" t="s">
        <v>41</v>
      </c>
      <c r="B52" s="5" t="s">
        <v>5</v>
      </c>
      <c r="C52" s="6">
        <v>0.08</v>
      </c>
      <c r="D52" s="11">
        <f t="shared" si="0"/>
        <v>164.56826222222222</v>
      </c>
    </row>
    <row r="53" spans="1:4" ht="16.5" thickBot="1" x14ac:dyDescent="0.3">
      <c r="A53" s="220" t="s">
        <v>42</v>
      </c>
      <c r="B53" s="221"/>
      <c r="C53" s="6">
        <f>SUM(C45:C52)</f>
        <v>0.36800000000000005</v>
      </c>
      <c r="D53" s="11">
        <f>SUM(D45:D52)</f>
        <v>757.01400622222229</v>
      </c>
    </row>
    <row r="54" spans="1:4" ht="7.9" customHeight="1" x14ac:dyDescent="0.25"/>
    <row r="55" spans="1:4" ht="30.6" customHeight="1" x14ac:dyDescent="0.25">
      <c r="A55" s="226" t="s">
        <v>95</v>
      </c>
      <c r="B55" s="226"/>
      <c r="C55" s="226"/>
      <c r="D55" s="226"/>
    </row>
    <row r="56" spans="1:4" ht="37.15" customHeight="1" x14ac:dyDescent="0.25">
      <c r="A56" s="226" t="s">
        <v>96</v>
      </c>
      <c r="B56" s="226"/>
      <c r="C56" s="226"/>
      <c r="D56" s="226"/>
    </row>
    <row r="57" spans="1:4" ht="37.15" customHeight="1" x14ac:dyDescent="0.25">
      <c r="A57" s="226" t="s">
        <v>97</v>
      </c>
      <c r="B57" s="226"/>
      <c r="C57" s="226"/>
      <c r="D57" s="226"/>
    </row>
    <row r="58" spans="1:4" ht="6" customHeight="1" x14ac:dyDescent="0.25"/>
    <row r="59" spans="1:4" x14ac:dyDescent="0.25">
      <c r="A59" s="228" t="s">
        <v>43</v>
      </c>
      <c r="B59" s="228"/>
      <c r="C59" s="228"/>
      <c r="D59" s="228"/>
    </row>
    <row r="60" spans="1:4" ht="16.5" thickBot="1" x14ac:dyDescent="0.3"/>
    <row r="61" spans="1:4" ht="16.5" thickBot="1" x14ac:dyDescent="0.3">
      <c r="A61" s="35" t="s">
        <v>44</v>
      </c>
      <c r="B61" s="35" t="s">
        <v>45</v>
      </c>
      <c r="C61" s="34"/>
      <c r="D61" s="35" t="s">
        <v>13</v>
      </c>
    </row>
    <row r="62" spans="1:4" x14ac:dyDescent="0.25">
      <c r="A62" s="26" t="s">
        <v>14</v>
      </c>
      <c r="B62" s="27" t="s">
        <v>293</v>
      </c>
      <c r="C62" s="18"/>
      <c r="D62" s="22">
        <f>(4.6*22*2)-(D19*6%)</f>
        <v>99.066439999999972</v>
      </c>
    </row>
    <row r="63" spans="1:4" x14ac:dyDescent="0.25">
      <c r="A63" s="26" t="s">
        <v>16</v>
      </c>
      <c r="B63" s="27" t="s">
        <v>288</v>
      </c>
      <c r="C63" s="18"/>
      <c r="D63" s="22">
        <f>26.7*22-(0.1*26.7*22)</f>
        <v>528.66</v>
      </c>
    </row>
    <row r="64" spans="1:4" x14ac:dyDescent="0.25">
      <c r="A64" s="26" t="s">
        <v>18</v>
      </c>
      <c r="B64" s="27" t="s">
        <v>88</v>
      </c>
      <c r="C64" s="18"/>
      <c r="D64" s="22">
        <v>6</v>
      </c>
    </row>
    <row r="65" spans="1:4" x14ac:dyDescent="0.25">
      <c r="A65" s="26" t="s">
        <v>20</v>
      </c>
      <c r="B65" s="27" t="s">
        <v>158</v>
      </c>
      <c r="C65" s="18"/>
      <c r="D65" s="22">
        <v>19.899999999999999</v>
      </c>
    </row>
    <row r="66" spans="1:4" x14ac:dyDescent="0.25">
      <c r="A66" s="219" t="s">
        <v>1</v>
      </c>
      <c r="B66" s="219"/>
      <c r="C66" s="18"/>
      <c r="D66" s="22">
        <f>SUM(D62:D65)</f>
        <v>653.62643999999989</v>
      </c>
    </row>
    <row r="69" spans="1:4" x14ac:dyDescent="0.25">
      <c r="A69" s="228" t="s">
        <v>46</v>
      </c>
      <c r="B69" s="228"/>
      <c r="C69" s="228"/>
      <c r="D69" s="228"/>
    </row>
    <row r="70" spans="1:4" ht="16.5" thickBot="1" x14ac:dyDescent="0.3"/>
    <row r="71" spans="1:4" ht="16.5" thickBot="1" x14ac:dyDescent="0.3">
      <c r="A71" s="35">
        <v>2</v>
      </c>
      <c r="B71" s="35" t="s">
        <v>47</v>
      </c>
      <c r="C71" s="34" t="s">
        <v>35</v>
      </c>
      <c r="D71" s="35" t="s">
        <v>13</v>
      </c>
    </row>
    <row r="72" spans="1:4" x14ac:dyDescent="0.25">
      <c r="A72" s="26" t="s">
        <v>28</v>
      </c>
      <c r="B72" s="27" t="s">
        <v>29</v>
      </c>
      <c r="C72" s="18"/>
      <c r="D72" s="22">
        <f>D36</f>
        <v>334.87727777777775</v>
      </c>
    </row>
    <row r="73" spans="1:4" x14ac:dyDescent="0.25">
      <c r="A73" s="26" t="s">
        <v>33</v>
      </c>
      <c r="B73" s="27" t="s">
        <v>34</v>
      </c>
      <c r="C73" s="18"/>
      <c r="D73" s="22">
        <f>D53</f>
        <v>757.01400622222229</v>
      </c>
    </row>
    <row r="74" spans="1:4" x14ac:dyDescent="0.25">
      <c r="A74" s="26" t="s">
        <v>44</v>
      </c>
      <c r="B74" s="27" t="s">
        <v>45</v>
      </c>
      <c r="C74" s="18"/>
      <c r="D74" s="22">
        <f>D66</f>
        <v>653.62643999999989</v>
      </c>
    </row>
    <row r="75" spans="1:4" x14ac:dyDescent="0.25">
      <c r="A75" s="219" t="s">
        <v>1</v>
      </c>
      <c r="B75" s="219"/>
      <c r="C75" s="18"/>
      <c r="D75" s="29">
        <f>SUM(D72:D74)</f>
        <v>1745.5177239999998</v>
      </c>
    </row>
    <row r="76" spans="1:4" x14ac:dyDescent="0.25">
      <c r="A76" s="1"/>
    </row>
    <row r="78" spans="1:4" x14ac:dyDescent="0.25">
      <c r="A78" s="229" t="s">
        <v>48</v>
      </c>
      <c r="B78" s="229"/>
      <c r="C78" s="229"/>
      <c r="D78" s="229"/>
    </row>
    <row r="79" spans="1:4" ht="16.5" thickBot="1" x14ac:dyDescent="0.3"/>
    <row r="80" spans="1:4" ht="16.5" thickBot="1" x14ac:dyDescent="0.3">
      <c r="A80" s="35">
        <v>3</v>
      </c>
      <c r="B80" s="35" t="s">
        <v>49</v>
      </c>
      <c r="C80" s="34" t="s">
        <v>35</v>
      </c>
      <c r="D80" s="35" t="s">
        <v>13</v>
      </c>
    </row>
    <row r="81" spans="1:4" x14ac:dyDescent="0.25">
      <c r="A81" s="26" t="s">
        <v>14</v>
      </c>
      <c r="B81" s="28" t="s">
        <v>50</v>
      </c>
      <c r="C81" s="24">
        <f>'Media de custo com mão de obra'!T5</f>
        <v>4.1999999999999997E-3</v>
      </c>
      <c r="D81" s="22">
        <f>C81*$D$26</f>
        <v>7.2333492000000001</v>
      </c>
    </row>
    <row r="82" spans="1:4" x14ac:dyDescent="0.25">
      <c r="A82" s="26" t="s">
        <v>16</v>
      </c>
      <c r="B82" s="28" t="s">
        <v>51</v>
      </c>
      <c r="C82" s="24">
        <f>C81*C52</f>
        <v>3.3599999999999998E-4</v>
      </c>
      <c r="D82" s="22">
        <f t="shared" ref="D82:D86" si="1">C82*$D$26</f>
        <v>0.57866793599999999</v>
      </c>
    </row>
    <row r="83" spans="1:4" x14ac:dyDescent="0.25">
      <c r="A83" s="26" t="s">
        <v>18</v>
      </c>
      <c r="B83" s="28" t="s">
        <v>52</v>
      </c>
      <c r="C83" s="24">
        <v>0.02</v>
      </c>
      <c r="D83" s="22">
        <f t="shared" si="1"/>
        <v>34.444520000000004</v>
      </c>
    </row>
    <row r="84" spans="1:4" x14ac:dyDescent="0.25">
      <c r="A84" s="26" t="s">
        <v>20</v>
      </c>
      <c r="B84" s="28" t="s">
        <v>53</v>
      </c>
      <c r="C84" s="24">
        <f>'Media de custo com mão de obra'!T6</f>
        <v>1.9400000000000001E-2</v>
      </c>
      <c r="D84" s="22">
        <f t="shared" si="1"/>
        <v>33.411184400000003</v>
      </c>
    </row>
    <row r="85" spans="1:4" x14ac:dyDescent="0.25">
      <c r="A85" s="26" t="s">
        <v>21</v>
      </c>
      <c r="B85" s="28" t="s">
        <v>54</v>
      </c>
      <c r="C85" s="24">
        <f>C84*C53</f>
        <v>7.1392000000000009E-3</v>
      </c>
      <c r="D85" s="22">
        <f t="shared" si="1"/>
        <v>12.295315859200002</v>
      </c>
    </row>
    <row r="86" spans="1:4" x14ac:dyDescent="0.25">
      <c r="A86" s="26" t="s">
        <v>23</v>
      </c>
      <c r="B86" s="28" t="s">
        <v>55</v>
      </c>
      <c r="C86" s="24">
        <v>0.02</v>
      </c>
      <c r="D86" s="22">
        <f t="shared" si="1"/>
        <v>34.444520000000004</v>
      </c>
    </row>
    <row r="87" spans="1:4" x14ac:dyDescent="0.25">
      <c r="A87" s="219" t="s">
        <v>1</v>
      </c>
      <c r="B87" s="219"/>
      <c r="C87" s="23">
        <f>SUM(C81:C86)</f>
        <v>7.1075200000000005E-2</v>
      </c>
      <c r="D87" s="22">
        <f>SUM(D81:D86)</f>
        <v>122.40755739520003</v>
      </c>
    </row>
    <row r="90" spans="1:4" x14ac:dyDescent="0.25">
      <c r="A90" s="229" t="s">
        <v>56</v>
      </c>
      <c r="B90" s="229"/>
      <c r="C90" s="229"/>
      <c r="D90" s="229"/>
    </row>
    <row r="93" spans="1:4" x14ac:dyDescent="0.25">
      <c r="A93" s="228" t="s">
        <v>57</v>
      </c>
      <c r="B93" s="228"/>
      <c r="C93" s="228"/>
      <c r="D93" s="228"/>
    </row>
    <row r="94" spans="1:4" ht="16.5" thickBot="1" x14ac:dyDescent="0.3">
      <c r="A94" s="2"/>
    </row>
    <row r="95" spans="1:4" ht="16.5" thickBot="1" x14ac:dyDescent="0.3">
      <c r="A95" s="35" t="s">
        <v>58</v>
      </c>
      <c r="B95" s="35" t="s">
        <v>59</v>
      </c>
      <c r="C95" s="34" t="s">
        <v>35</v>
      </c>
      <c r="D95" s="35" t="s">
        <v>13</v>
      </c>
    </row>
    <row r="96" spans="1:4" x14ac:dyDescent="0.25">
      <c r="A96" s="26" t="s">
        <v>14</v>
      </c>
      <c r="B96" s="27" t="s">
        <v>2</v>
      </c>
      <c r="C96" s="32">
        <f>D96/D26</f>
        <v>0.14452976642157042</v>
      </c>
      <c r="D96" s="22">
        <f>'Custo de Substitução nas Ferias'!K13</f>
        <v>248.91292150515554</v>
      </c>
    </row>
    <row r="97" spans="1:4" x14ac:dyDescent="0.25">
      <c r="A97" s="26" t="s">
        <v>16</v>
      </c>
      <c r="B97" s="27" t="s">
        <v>59</v>
      </c>
      <c r="C97" s="89">
        <f>'Media de custo com mão de obra'!T8</f>
        <v>6.0999999999999995E-3</v>
      </c>
      <c r="D97" s="53">
        <f>C97*$D$26</f>
        <v>10.5055786</v>
      </c>
    </row>
    <row r="98" spans="1:4" x14ac:dyDescent="0.25">
      <c r="A98" s="26" t="s">
        <v>18</v>
      </c>
      <c r="B98" s="27" t="s">
        <v>60</v>
      </c>
      <c r="C98" s="89">
        <f>'Media de custo com mão de obra'!T9</f>
        <v>2.5000000000000001E-4</v>
      </c>
      <c r="D98" s="53">
        <f t="shared" ref="D98:D101" si="2">C98*$D$26</f>
        <v>0.43055650000000006</v>
      </c>
    </row>
    <row r="99" spans="1:4" x14ac:dyDescent="0.25">
      <c r="A99" s="26" t="s">
        <v>20</v>
      </c>
      <c r="B99" s="27" t="s">
        <v>61</v>
      </c>
      <c r="C99" s="89">
        <f>'Media de custo com mão de obra'!T10</f>
        <v>2.0499999999999997E-3</v>
      </c>
      <c r="D99" s="53">
        <f t="shared" si="2"/>
        <v>3.5305632999999998</v>
      </c>
    </row>
    <row r="100" spans="1:4" x14ac:dyDescent="0.25">
      <c r="A100" s="26" t="s">
        <v>21</v>
      </c>
      <c r="B100" s="27" t="s">
        <v>62</v>
      </c>
      <c r="C100" s="89">
        <f>'Media de custo com mão de obra'!T11</f>
        <v>5.9999999999999995E-4</v>
      </c>
      <c r="D100" s="53">
        <f t="shared" si="2"/>
        <v>1.0333356</v>
      </c>
    </row>
    <row r="101" spans="1:4" x14ac:dyDescent="0.25">
      <c r="A101" s="26" t="s">
        <v>23</v>
      </c>
      <c r="B101" s="27" t="s">
        <v>25</v>
      </c>
      <c r="C101" s="89">
        <f>'Media de custo com mão de obra'!T12</f>
        <v>0</v>
      </c>
      <c r="D101" s="53">
        <f t="shared" si="2"/>
        <v>0</v>
      </c>
    </row>
    <row r="102" spans="1:4" x14ac:dyDescent="0.25">
      <c r="A102" s="219" t="s">
        <v>42</v>
      </c>
      <c r="B102" s="219"/>
      <c r="C102" s="33"/>
      <c r="D102" s="29">
        <f>SUM(D96:E101)</f>
        <v>264.41295550515554</v>
      </c>
    </row>
    <row r="105" spans="1:4" x14ac:dyDescent="0.25">
      <c r="A105" s="228" t="s">
        <v>63</v>
      </c>
      <c r="B105" s="228"/>
      <c r="C105" s="228"/>
      <c r="D105" s="228"/>
    </row>
    <row r="106" spans="1:4" x14ac:dyDescent="0.25">
      <c r="A106" s="2"/>
    </row>
    <row r="107" spans="1:4" x14ac:dyDescent="0.25">
      <c r="A107" s="35" t="s">
        <v>64</v>
      </c>
      <c r="B107" s="35" t="s">
        <v>65</v>
      </c>
      <c r="C107" s="18"/>
      <c r="D107" s="35" t="s">
        <v>13</v>
      </c>
    </row>
    <row r="108" spans="1:4" x14ac:dyDescent="0.25">
      <c r="A108" s="26" t="s">
        <v>14</v>
      </c>
      <c r="B108" s="27" t="s">
        <v>82</v>
      </c>
      <c r="C108" s="18"/>
      <c r="D108" s="22">
        <v>0</v>
      </c>
    </row>
    <row r="109" spans="1:4" x14ac:dyDescent="0.25">
      <c r="A109" s="219" t="s">
        <v>1</v>
      </c>
      <c r="B109" s="219"/>
      <c r="C109" s="18"/>
      <c r="D109" s="22">
        <f>D108</f>
        <v>0</v>
      </c>
    </row>
    <row r="112" spans="1:4" x14ac:dyDescent="0.25">
      <c r="A112" s="228" t="s">
        <v>66</v>
      </c>
      <c r="B112" s="228"/>
      <c r="C112" s="228"/>
      <c r="D112" s="228"/>
    </row>
    <row r="113" spans="1:4" x14ac:dyDescent="0.25">
      <c r="A113" s="2"/>
    </row>
    <row r="114" spans="1:4" x14ac:dyDescent="0.25">
      <c r="A114" s="35">
        <v>4</v>
      </c>
      <c r="B114" s="35" t="s">
        <v>67</v>
      </c>
      <c r="C114" s="18"/>
      <c r="D114" s="35" t="s">
        <v>13</v>
      </c>
    </row>
    <row r="115" spans="1:4" x14ac:dyDescent="0.25">
      <c r="A115" s="26" t="s">
        <v>58</v>
      </c>
      <c r="B115" s="27" t="s">
        <v>59</v>
      </c>
      <c r="C115" s="18"/>
      <c r="D115" s="22">
        <f>D102</f>
        <v>264.41295550515554</v>
      </c>
    </row>
    <row r="116" spans="1:4" x14ac:dyDescent="0.25">
      <c r="A116" s="26" t="s">
        <v>64</v>
      </c>
      <c r="B116" s="27" t="s">
        <v>65</v>
      </c>
      <c r="C116" s="18"/>
      <c r="D116" s="22">
        <f>D109</f>
        <v>0</v>
      </c>
    </row>
    <row r="117" spans="1:4" x14ac:dyDescent="0.25">
      <c r="A117" s="219" t="s">
        <v>1</v>
      </c>
      <c r="B117" s="219"/>
      <c r="C117" s="18"/>
      <c r="D117" s="22">
        <f>SUM(D115:D116)</f>
        <v>264.41295550515554</v>
      </c>
    </row>
    <row r="120" spans="1:4" x14ac:dyDescent="0.25">
      <c r="A120" s="229" t="s">
        <v>68</v>
      </c>
      <c r="B120" s="229"/>
      <c r="C120" s="229"/>
      <c r="D120" s="229"/>
    </row>
    <row r="122" spans="1:4" x14ac:dyDescent="0.25">
      <c r="A122" s="35">
        <v>5</v>
      </c>
      <c r="B122" s="30" t="s">
        <v>6</v>
      </c>
      <c r="C122" s="18"/>
      <c r="D122" s="35" t="s">
        <v>13</v>
      </c>
    </row>
    <row r="123" spans="1:4" x14ac:dyDescent="0.25">
      <c r="A123" s="26" t="s">
        <v>14</v>
      </c>
      <c r="B123" s="27" t="s">
        <v>69</v>
      </c>
      <c r="C123" s="18"/>
      <c r="D123" s="120">
        <f>Uniformes!P45</f>
        <v>24.530216666666664</v>
      </c>
    </row>
    <row r="124" spans="1:4" x14ac:dyDescent="0.25">
      <c r="A124" s="26" t="s">
        <v>16</v>
      </c>
      <c r="B124" s="27" t="s">
        <v>70</v>
      </c>
      <c r="C124" s="18"/>
      <c r="D124" s="22">
        <v>0</v>
      </c>
    </row>
    <row r="125" spans="1:4" x14ac:dyDescent="0.25">
      <c r="A125" s="26" t="s">
        <v>18</v>
      </c>
      <c r="B125" s="27" t="s">
        <v>89</v>
      </c>
      <c r="C125" s="18"/>
      <c r="D125" s="48"/>
    </row>
    <row r="126" spans="1:4" ht="31.5" x14ac:dyDescent="0.25">
      <c r="A126" s="26" t="s">
        <v>20</v>
      </c>
      <c r="B126" s="27" t="s">
        <v>338</v>
      </c>
      <c r="C126" s="18"/>
      <c r="D126" s="22">
        <f>155/103</f>
        <v>1.5048543689320388</v>
      </c>
    </row>
    <row r="127" spans="1:4" x14ac:dyDescent="0.25">
      <c r="A127" s="219" t="s">
        <v>42</v>
      </c>
      <c r="B127" s="219"/>
      <c r="C127" s="18"/>
      <c r="D127" s="48">
        <f>SUM(D123:D126)</f>
        <v>26.035071035598705</v>
      </c>
    </row>
    <row r="130" spans="1:6" x14ac:dyDescent="0.25">
      <c r="A130" s="229" t="s">
        <v>71</v>
      </c>
      <c r="B130" s="229"/>
      <c r="C130" s="229"/>
      <c r="D130" s="229"/>
    </row>
    <row r="131" spans="1:6" ht="16.5" thickBot="1" x14ac:dyDescent="0.3"/>
    <row r="132" spans="1:6" ht="16.5" thickBot="1" x14ac:dyDescent="0.3">
      <c r="A132" s="3">
        <v>6</v>
      </c>
      <c r="B132" s="7" t="s">
        <v>7</v>
      </c>
      <c r="C132" s="34" t="s">
        <v>35</v>
      </c>
      <c r="D132" s="34" t="s">
        <v>13</v>
      </c>
    </row>
    <row r="133" spans="1:6" ht="16.5" thickBot="1" x14ac:dyDescent="0.3">
      <c r="A133" s="4" t="s">
        <v>14</v>
      </c>
      <c r="B133" s="5" t="s">
        <v>8</v>
      </c>
      <c r="C133" s="14">
        <f>'Media de custo com mão de obra'!T14</f>
        <v>1.66E-2</v>
      </c>
      <c r="D133" s="11">
        <f>(D26+D75+D87+D117+D127)*C133</f>
        <v>64.417948511736839</v>
      </c>
    </row>
    <row r="134" spans="1:6" ht="16.5" thickBot="1" x14ac:dyDescent="0.3">
      <c r="A134" s="4" t="s">
        <v>131</v>
      </c>
      <c r="B134" s="5" t="s">
        <v>345</v>
      </c>
      <c r="C134" s="14"/>
      <c r="D134" s="11">
        <v>75</v>
      </c>
    </row>
    <row r="135" spans="1:6" ht="16.5" thickBot="1" x14ac:dyDescent="0.3">
      <c r="A135" s="4" t="s">
        <v>16</v>
      </c>
      <c r="B135" s="5" t="s">
        <v>10</v>
      </c>
      <c r="C135" s="14">
        <f>'Media de custo com mão de obra'!T15</f>
        <v>2.4500000000000001E-2</v>
      </c>
      <c r="D135" s="11">
        <f>(D26+D75+D87+D117+D127+D133+D134)*C135</f>
        <v>98.490422782968437</v>
      </c>
    </row>
    <row r="136" spans="1:6" ht="16.5" thickBot="1" x14ac:dyDescent="0.3">
      <c r="A136" s="4" t="s">
        <v>18</v>
      </c>
      <c r="B136" s="5" t="s">
        <v>9</v>
      </c>
      <c r="C136" s="14">
        <f>SUM(C137,C139)</f>
        <v>0.14250000000000002</v>
      </c>
      <c r="D136" s="11">
        <f>((D26+D75+D87+D117+D127+D133+D134+D135)/(1-(C136)))*C136</f>
        <v>684.41672803541587</v>
      </c>
    </row>
    <row r="137" spans="1:6" ht="16.5" thickBot="1" x14ac:dyDescent="0.3">
      <c r="A137" s="4"/>
      <c r="B137" s="5" t="s">
        <v>90</v>
      </c>
      <c r="C137" s="14">
        <f>1.65%+7.6%</f>
        <v>9.2499999999999999E-2</v>
      </c>
      <c r="D137" s="11">
        <f>((D26+D75+D87+D117+D127+D133+D134+D135)/(1-(C136)))*C137</f>
        <v>444.27050767211199</v>
      </c>
    </row>
    <row r="138" spans="1:6" ht="16.5" thickBot="1" x14ac:dyDescent="0.3">
      <c r="A138" s="4"/>
      <c r="B138" s="5" t="s">
        <v>72</v>
      </c>
      <c r="C138" s="14">
        <v>0</v>
      </c>
      <c r="D138" s="11"/>
    </row>
    <row r="139" spans="1:6" ht="16.5" thickBot="1" x14ac:dyDescent="0.3">
      <c r="A139" s="4"/>
      <c r="B139" s="5" t="s">
        <v>73</v>
      </c>
      <c r="C139" s="14">
        <v>0.05</v>
      </c>
      <c r="D139" s="11">
        <f>((D26+D75+D87+D117+D127+D133+D134+D135)/(1-(C136)))*C139</f>
        <v>240.1462203633038</v>
      </c>
      <c r="F139" s="54">
        <f>D137+D139</f>
        <v>684.41672803541576</v>
      </c>
    </row>
    <row r="140" spans="1:6" ht="16.5" thickBot="1" x14ac:dyDescent="0.3">
      <c r="A140" s="220" t="s">
        <v>42</v>
      </c>
      <c r="B140" s="221"/>
      <c r="C140" s="14">
        <f>SUM(C133:C136)</f>
        <v>0.18360000000000001</v>
      </c>
      <c r="D140" s="11">
        <f>SUM(D133:D136)</f>
        <v>922.32509933012113</v>
      </c>
    </row>
    <row r="143" spans="1:6" x14ac:dyDescent="0.25">
      <c r="A143" s="229" t="s">
        <v>74</v>
      </c>
      <c r="B143" s="229"/>
      <c r="C143" s="229"/>
      <c r="D143" s="229"/>
    </row>
    <row r="144" spans="1:6" ht="16.5" thickBot="1" x14ac:dyDescent="0.3"/>
    <row r="145" spans="1:7" ht="16.5" thickBot="1" x14ac:dyDescent="0.3">
      <c r="A145" s="3"/>
      <c r="B145" s="34" t="s">
        <v>75</v>
      </c>
      <c r="C145" s="34"/>
      <c r="D145" s="34" t="s">
        <v>13</v>
      </c>
    </row>
    <row r="146" spans="1:7" ht="16.5" thickBot="1" x14ac:dyDescent="0.3">
      <c r="A146" s="9" t="s">
        <v>14</v>
      </c>
      <c r="B146" s="5" t="s">
        <v>11</v>
      </c>
      <c r="C146" s="14"/>
      <c r="D146" s="12">
        <f>D26</f>
        <v>1722.2260000000001</v>
      </c>
    </row>
    <row r="147" spans="1:7" ht="16.5" thickBot="1" x14ac:dyDescent="0.3">
      <c r="A147" s="9" t="s">
        <v>16</v>
      </c>
      <c r="B147" s="5" t="s">
        <v>26</v>
      </c>
      <c r="C147" s="14"/>
      <c r="D147" s="12">
        <f>D75</f>
        <v>1745.5177239999998</v>
      </c>
    </row>
    <row r="148" spans="1:7" ht="16.5" thickBot="1" x14ac:dyDescent="0.3">
      <c r="A148" s="9" t="s">
        <v>18</v>
      </c>
      <c r="B148" s="5" t="s">
        <v>48</v>
      </c>
      <c r="C148" s="14"/>
      <c r="D148" s="12">
        <f>D87</f>
        <v>122.40755739520003</v>
      </c>
    </row>
    <row r="149" spans="1:7" ht="16.5" thickBot="1" x14ac:dyDescent="0.3">
      <c r="A149" s="9" t="s">
        <v>20</v>
      </c>
      <c r="B149" s="5" t="s">
        <v>56</v>
      </c>
      <c r="C149" s="14"/>
      <c r="D149" s="12">
        <f>D117</f>
        <v>264.41295550515554</v>
      </c>
    </row>
    <row r="150" spans="1:7" ht="16.5" thickBot="1" x14ac:dyDescent="0.3">
      <c r="A150" s="9" t="s">
        <v>21</v>
      </c>
      <c r="B150" s="5" t="s">
        <v>68</v>
      </c>
      <c r="C150" s="14"/>
      <c r="D150" s="12">
        <f>D127</f>
        <v>26.035071035598705</v>
      </c>
    </row>
    <row r="151" spans="1:7" ht="16.5" thickBot="1" x14ac:dyDescent="0.3">
      <c r="A151" s="220" t="s">
        <v>76</v>
      </c>
      <c r="B151" s="221"/>
      <c r="C151" s="14"/>
      <c r="D151" s="12">
        <f>SUM(D146:D150)</f>
        <v>3880.5993079359541</v>
      </c>
    </row>
    <row r="152" spans="1:7" ht="16.5" thickBot="1" x14ac:dyDescent="0.3">
      <c r="A152" s="9" t="s">
        <v>23</v>
      </c>
      <c r="B152" s="5" t="s">
        <v>77</v>
      </c>
      <c r="C152" s="196"/>
      <c r="D152" s="197">
        <f>D140</f>
        <v>922.32509933012113</v>
      </c>
    </row>
    <row r="153" spans="1:7" ht="16.5" thickBot="1" x14ac:dyDescent="0.3">
      <c r="A153" s="220" t="s">
        <v>78</v>
      </c>
      <c r="B153" s="227"/>
      <c r="C153" s="18"/>
      <c r="D153" s="199">
        <f>SUM(D151:D152)</f>
        <v>4802.9244072660749</v>
      </c>
      <c r="F153" s="201">
        <v>4713.32</v>
      </c>
      <c r="G153" s="54">
        <f>D153-F153</f>
        <v>89.604407266075214</v>
      </c>
    </row>
  </sheetData>
  <mergeCells count="43">
    <mergeCell ref="A90:D90"/>
    <mergeCell ref="A42:D42"/>
    <mergeCell ref="A1:D1"/>
    <mergeCell ref="A2:D2"/>
    <mergeCell ref="A3:D3"/>
    <mergeCell ref="A16:D16"/>
    <mergeCell ref="A26:B26"/>
    <mergeCell ref="A29:D29"/>
    <mergeCell ref="A31:D31"/>
    <mergeCell ref="A36:B36"/>
    <mergeCell ref="A38:D38"/>
    <mergeCell ref="A39:D39"/>
    <mergeCell ref="A40:D40"/>
    <mergeCell ref="A5:D5"/>
    <mergeCell ref="C6:D6"/>
    <mergeCell ref="C7:D7"/>
    <mergeCell ref="C8:D8"/>
    <mergeCell ref="A87:B87"/>
    <mergeCell ref="A53:B53"/>
    <mergeCell ref="A55:D55"/>
    <mergeCell ref="A56:D56"/>
    <mergeCell ref="A57:D57"/>
    <mergeCell ref="A59:D59"/>
    <mergeCell ref="A66:B66"/>
    <mergeCell ref="A69:D69"/>
    <mergeCell ref="A75:B75"/>
    <mergeCell ref="A78:D78"/>
    <mergeCell ref="C9:D9"/>
    <mergeCell ref="C10:D10"/>
    <mergeCell ref="C11:D11"/>
    <mergeCell ref="A93:D93"/>
    <mergeCell ref="A153:B153"/>
    <mergeCell ref="A102:B102"/>
    <mergeCell ref="A105:D105"/>
    <mergeCell ref="A109:B109"/>
    <mergeCell ref="A112:D112"/>
    <mergeCell ref="A117:B117"/>
    <mergeCell ref="A120:D120"/>
    <mergeCell ref="A127:B127"/>
    <mergeCell ref="A130:D130"/>
    <mergeCell ref="A140:B140"/>
    <mergeCell ref="A143:D143"/>
    <mergeCell ref="A151:B151"/>
  </mergeCells>
  <pageMargins left="0.511811024" right="0.511811024" top="0.78740157499999996" bottom="0.78740157499999996" header="0.31496062000000002" footer="0.31496062000000002"/>
  <pageSetup paperSize="9" scale="76" fitToHeight="0" orientation="portrait" r:id="rId1"/>
  <rowBreaks count="3" manualBreakCount="3">
    <brk id="58" max="4" man="1"/>
    <brk id="76" max="16383" man="1"/>
    <brk id="14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19</vt:i4>
      </vt:variant>
      <vt:variant>
        <vt:lpstr>Intervalos Nomeados</vt:lpstr>
      </vt:variant>
      <vt:variant>
        <vt:i4>17</vt:i4>
      </vt:variant>
    </vt:vector>
  </HeadingPairs>
  <TitlesOfParts>
    <vt:vector size="36" baseType="lpstr">
      <vt:lpstr>Resumo </vt:lpstr>
      <vt:lpstr>Resumo  (2)</vt:lpstr>
      <vt:lpstr>Secretário Sup. Pleno</vt:lpstr>
      <vt:lpstr>Secretário Sup. Junhior</vt:lpstr>
      <vt:lpstr>Aux. Adm IV</vt:lpstr>
      <vt:lpstr>Encarregado</vt:lpstr>
      <vt:lpstr>Recepcionista </vt:lpstr>
      <vt:lpstr>Jardineiro</vt:lpstr>
      <vt:lpstr>mesageiro  </vt:lpstr>
      <vt:lpstr>Almoxarife III</vt:lpstr>
      <vt:lpstr>copeiro </vt:lpstr>
      <vt:lpstr>motorista</vt:lpstr>
      <vt:lpstr>carregador</vt:lpstr>
      <vt:lpstr>Técn. Art. Graficas</vt:lpstr>
      <vt:lpstr>Carregador por diarias</vt:lpstr>
      <vt:lpstr>Custo de Substitução nas Ferias</vt:lpstr>
      <vt:lpstr>Equipamentos </vt:lpstr>
      <vt:lpstr>Uniformes</vt:lpstr>
      <vt:lpstr>Media de custo com mão de obra</vt:lpstr>
      <vt:lpstr>'Almoxarife III'!Area_de_impressao</vt:lpstr>
      <vt:lpstr>'Aux. Adm IV'!Area_de_impressao</vt:lpstr>
      <vt:lpstr>carregador!Area_de_impressao</vt:lpstr>
      <vt:lpstr>'copeiro '!Area_de_impressao</vt:lpstr>
      <vt:lpstr>'Custo de Substitução nas Ferias'!Area_de_impressao</vt:lpstr>
      <vt:lpstr>Encarregado!Area_de_impressao</vt:lpstr>
      <vt:lpstr>'Equipamentos '!Area_de_impressao</vt:lpstr>
      <vt:lpstr>Jardineiro!Area_de_impressao</vt:lpstr>
      <vt:lpstr>'Media de custo com mão de obra'!Area_de_impressao</vt:lpstr>
      <vt:lpstr>'mesageiro  '!Area_de_impressao</vt:lpstr>
      <vt:lpstr>motorista!Area_de_impressao</vt:lpstr>
      <vt:lpstr>'Recepcionista '!Area_de_impressao</vt:lpstr>
      <vt:lpstr>'Resumo  (2)'!Area_de_impressao</vt:lpstr>
      <vt:lpstr>'Secretário Sup. Junhior'!Area_de_impressao</vt:lpstr>
      <vt:lpstr>'Secretário Sup. Pleno'!Area_de_impressao</vt:lpstr>
      <vt:lpstr>'Técn. Art. Graficas'!Area_de_impressao</vt:lpstr>
      <vt:lpstr>Uniformes!Area_de_impressao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Arcangela Silva Casagrande</dc:creator>
  <cp:lastModifiedBy>Djair Alves</cp:lastModifiedBy>
  <cp:lastPrinted>2025-03-12T13:33:16Z</cp:lastPrinted>
  <dcterms:created xsi:type="dcterms:W3CDTF">2018-01-23T19:35:16Z</dcterms:created>
  <dcterms:modified xsi:type="dcterms:W3CDTF">2026-01-16T20:07:03Z</dcterms:modified>
</cp:coreProperties>
</file>